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" sheetId="1" state="visible" r:id="rId3"/>
    <sheet name="Ergebnis" sheetId="2" state="visible" r:id="rId4"/>
    <sheet name="Ziele" sheetId="3" state="visible" r:id="rId5"/>
    <sheet name="Budgets" sheetId="4" state="visible" r:id="rId6"/>
    <sheet name="Monate A" sheetId="5" state="visible" r:id="rId7"/>
    <sheet name="Monate B" sheetId="6" state="visible" r:id="rId8"/>
  </sheets>
  <definedNames>
    <definedName function="false" hidden="false" localSheetId="3" name="_xlnm.Print_Area" vbProcedure="false">Budgets!$A$1:$G$69</definedName>
    <definedName function="false" hidden="false" localSheetId="3" name="_xlnm.Print_Titles" vbProcedure="false">Budgets!$1:$9</definedName>
    <definedName function="false" hidden="false" localSheetId="1" name="_xlnm.Print_Area" vbProcedure="false">Ergebnis!$A$1:$I$42</definedName>
    <definedName function="false" hidden="false" localSheetId="4" name="_xlnm.Print_Area" vbProcedure="false">'Monate A'!$A$200:$G$262,'Monate A'!$A$270:$F$332,'Monate A'!$A$340:$D$402,'Monate A'!$A$410:$E$472</definedName>
    <definedName function="false" hidden="false" localSheetId="5" name="_xlnm.Print_Area" vbProcedure="false">'Monate B'!$A$200:$G$262,'Monate B'!$A$270:$F$332,'Monate B'!$A$340:$D$402,'Monate B'!$A$410:$E$472</definedName>
    <definedName function="false" hidden="false" localSheetId="0" name="_xlnm.Print_Area" vbProcedure="false">Start!$A$1:$F$36</definedName>
    <definedName function="false" hidden="false" localSheetId="2" name="_xlnm.Print_Area" vbProcedure="false">Ziele!$A$1:$F$28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<sst xmlns="http://schemas.openxmlformats.org/spreadsheetml/2006/main" count="81" uniqueCount="65">
  <si>
    <t xml:space="preserve">Mein Sparziel-Fahrplan</t>
  </si>
  <si>
    <t xml:space="preserve">Was ändert sich, wenn nach einem erreichten Ziel Geld frei wird – und Dein Sparbudget später sinkt?</t>
  </si>
  <si>
    <t xml:space="preserve">1 · Ziele und Reihenfolge</t>
  </si>
  <si>
    <t xml:space="preserve">Trage in „Ziele“ Startgeld, Beträge, Termine und Monatsdeckel ein. Oben stehende Ziele erhalten zuerst Geld. Leer beim Monatsdeckel bedeutet: das gesamte verbleibende Budget, bis das Ziel voll ist. 0 blockiert neue Einzahlungen.</t>
  </si>
  <si>
    <t xml:space="preserve">2 · Zwei Budgetvarianten</t>
  </si>
  <si>
    <t xml:space="preserve">In „Budgets“ hat jeder Monat vier eigene Eingaben: Sparbudget und weitere laufende Pläne für A und B. Die Varianten teilen dieselben Ziele und dieselbe Reihenfolge. Änderungen in einer Budgetvariante ändern die andere nicht.</t>
  </si>
  <si>
    <t xml:space="preserve">3 · Ergebnis und Monatsweg</t>
  </si>
  <si>
    <t xml:space="preserve">„Ergebnis“ vergleicht jedes Ziel an seinem eigenen Termin. „Monate A/B“ zeigen jede tatsächliche Zuordnung, den freien Rest und weiter unten die Zielstände. Ein später erfülltes Ziel behält seine ursprüngliche Terminlücke.</t>
  </si>
  <si>
    <t xml:space="preserve">Die Regel bleibt sichtbar</t>
  </si>
  <si>
    <t xml:space="preserve">Zuerst werden weitere laufende Pläne bedient, soweit Geld vorhanden ist. Danach verteilt die Datei den Rest von oben nach unten – begrenzt durch Monatsdeckel und Zielbetrag. Unbenutztes Monatsgeld bleibt für den nächsten Monat verfügbar.</t>
  </si>
  <si>
    <t xml:space="preserve">Bereits zugeordnetes Geld bleibt gebunden</t>
  </si>
  <si>
    <t xml:space="preserve">Eine gefüllte Reserve bleibt Reserve. Nur ihre künftige Rate wird frei. Nicht zugeordnetes Startgeld bleibt separat unverplant. Die Datei überträgt es nicht automatisch. Weitere Pläne werden als Zahlungen geführt; ihre Vermögensentwicklung wird nicht gerechnet.</t>
  </si>
  <si>
    <t xml:space="preserve">Das Beispiel</t>
  </si>
  <si>
    <t xml:space="preserve">48 Monate, 26.000 € Startgeld, Reserve 8.000 → 10.000 € mit Deckel 200 €, Eigenkapital 18.000 → 40.000 €. A: 500 € Budget und 150 € weitere Pläne pro Monat. B: Monate 13–18 nur 350 € Budget. Danach gelten wieder 500 €.</t>
  </si>
  <si>
    <t xml:space="preserve">So liest Du die Rechnung</t>
  </si>
  <si>
    <t xml:space="preserve">Ich rechne ohne Rendite, Steuern und Entnahmen. Termine werden nach der Einzahlung des jeweiligen Monats geprüft. Die Reihenfolge ist Deine Eingabe, keine optimale Anlagestrategie. 0 bei „Voll“ heißt: bereits vor Beginn gefüllt. Alle Formeln sind offen.</t>
  </si>
  <si>
    <t xml:space="preserve">Was erreichen Deine Budgetvarianten?</t>
  </si>
  <si>
    <t xml:space="preserve">Die Tabelle prüft jedes Ziel an seinem eigenen Termin. Ein späteres Auffüllen löscht eine zuvor entstandene Terminlücke nicht. „Voll“ nennt den ersten gefüllten Monat; 0 heißt bereits vor Start.</t>
  </si>
  <si>
    <t xml:space="preserve">Status</t>
  </si>
  <si>
    <t xml:space="preserve">Ziel</t>
  </si>
  <si>
    <t xml:space="preserve">Zielbetrag</t>
  </si>
  <si>
    <t xml:space="preserve">Termin</t>
  </si>
  <si>
    <t xml:space="preserve">A am Termin</t>
  </si>
  <si>
    <t xml:space="preserve">Lücke A</t>
  </si>
  <si>
    <t xml:space="preserve">B am Termin</t>
  </si>
  <si>
    <t xml:space="preserve">Lücke B</t>
  </si>
  <si>
    <t xml:space="preserve">Voll A</t>
  </si>
  <si>
    <t xml:space="preserve">Voll B</t>
  </si>
  <si>
    <t xml:space="preserve">Weitere laufende Pläne sind nicht in den Zielständen enthalten. Nicht zugeordnetes Startgeld und freie Monatsreste bleiben sichtbar getrennt. Es werden keine Zielgelder entnommen.</t>
  </si>
  <si>
    <t xml:space="preserve">Weitere Pläne ungedeckt</t>
  </si>
  <si>
    <t xml:space="preserve">Monat</t>
  </si>
  <si>
    <t xml:space="preserve">Budget A</t>
  </si>
  <si>
    <t xml:space="preserve">Budget B</t>
  </si>
  <si>
    <t xml:space="preserve">Deine Ziele · oben zuerst</t>
  </si>
  <si>
    <t xml:space="preserve">Verfügbares Startgeld</t>
  </si>
  <si>
    <t xml:space="preserve">Planmonate (1–60)</t>
  </si>
  <si>
    <t xml:space="preserve">Monat 1 beginnt am</t>
  </si>
  <si>
    <t xml:space="preserve">Ein Monatsdeckel begrenzt neue Einzahlungen. Leer bedeutet unbegrenzt; 0 bedeutet keine neue Einzahlung.</t>
  </si>
  <si>
    <t xml:space="preserve">Ziel · oben zuerst</t>
  </si>
  <si>
    <t xml:space="preserve">Schon zugeordnet</t>
  </si>
  <si>
    <t xml:space="preserve">Termin (Monat)</t>
  </si>
  <si>
    <t xml:space="preserve">Monatsdeckel</t>
  </si>
  <si>
    <t xml:space="preserve">Eingabe</t>
  </si>
  <si>
    <t xml:space="preserve">Reserve</t>
  </si>
  <si>
    <t xml:space="preserve">Eigenkapital</t>
  </si>
  <si>
    <t xml:space="preserve">Die Gesamtrechnung startet nur mit gültigen Rahmenwerten, Zielzeilen und Budgeteingaben.</t>
  </si>
  <si>
    <t xml:space="preserve">Gesamtstatus</t>
  </si>
  <si>
    <t xml:space="preserve">Unverplantes Startgeld</t>
  </si>
  <si>
    <t xml:space="preserve">Dieses Startgeld bleibt außerhalb der automatischen Monatsverteilung. Bereits zugeordnete Startbeträge dürfen zusammen Dein verfügbares Startgeld nicht überschreiten.</t>
  </si>
  <si>
    <t xml:space="preserve">Reihenfolge ändern: Verschiebe jeweils die fünf Eingabewerte A–E eines Ziels gemeinsam. Die Statusspalte F bleibt an ihrer Position. Alle sechs Zielzeilen haben denselben Aufbau.</t>
  </si>
  <si>
    <t xml:space="preserve">Dein gemeinsames Monatsbudget</t>
  </si>
  <si>
    <t xml:space="preserve">Sparbudget nach Lebenshaltung und Jahreskosten, bevor Du die hier eingetragenen Ziele und weiteren Pläne abziehst. Alle Beträge in Euro. B enthält im Beispiel eine sechsmonatige Budgetsenkung.</t>
  </si>
  <si>
    <t xml:space="preserve">Alle blauen Budgetfelder brauchen gültige Zahlen; 0 ist möglich. Nur die eingestellten Planmonate werden gerechnet. Weitere Pläne haben Vorrang; ein ungedeckter Teil wird als Fehlbetrag gezeigt.</t>
  </si>
  <si>
    <t xml:space="preserve">Beginn</t>
  </si>
  <si>
    <t xml:space="preserve">Weitere Pläne A</t>
  </si>
  <si>
    <t xml:space="preserve">Weitere Pläne B</t>
  </si>
  <si>
    <t xml:space="preserve">Monatsweg A · jede Zuordnung bleibt sichtbar</t>
  </si>
  <si>
    <t xml:space="preserve">Nach dem letzten eingestellten Monat bleiben die Zeilen leer. Oben: neue Zuordnungen; unten: angesparte Zielstände. Die Kontrollspalte muss überall 0 ergeben.</t>
  </si>
  <si>
    <t xml:space="preserve">Sparbudget</t>
  </si>
  <si>
    <t xml:space="preserve">Weitere gezahlt</t>
  </si>
  <si>
    <t xml:space="preserve">Weitere ungedeckt</t>
  </si>
  <si>
    <t xml:space="preserve">Frei für später</t>
  </si>
  <si>
    <t xml:space="preserve">Kontrolle</t>
  </si>
  <si>
    <t xml:space="preserve">Zusammen</t>
  </si>
  <si>
    <t xml:space="preserve">Monatsweg B · jede Zuordnung bleibt sichtbar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</si>
</sst>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[$-407]#,##0.00&quot; €&quot;;[RED][$-407]\-#,##0.00&quot; €&quot;;[$-407]0.00&quot; €&quot;"/>
    <numFmt numFmtId="167" formatCode="0"/>
    <numFmt numFmtId="168" formatCode="dd\.mm\.yyyy"/>
    <numFmt numFmtId="169" formatCode="mmm\ 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15387"/>
      <name val="Calibri"/>
      <family val="0"/>
      <charset val="1"/>
    </font>
    <font>
      <sz val="11"/>
      <color rgb="FF16314A"/>
      <name val="Calibri"/>
      <family val="0"/>
      <charset val="1"/>
    </font>
    <font>
      <b val="true"/>
      <sz val="12"/>
      <color rgb="FF215387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1"/>
      <color rgb="FF2B6CB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15387"/>
        <bgColor rgb="FF2B6CB0"/>
      </patternFill>
    </fill>
    <fill>
      <patternFill patternType="solid">
        <fgColor rgb="FFEDF4FB"/>
        <bgColor rgb="FFFBEDEE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A23B3B"/>
      </font>
      <fill>
        <patternFill>
          <bgColor rgb="FFFBED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A23B3B"/>
      <rgbColor rgb="FFFBEDEE"/>
      <rgbColor rgb="FFEDF4FB"/>
      <rgbColor rgb="FF660066"/>
      <rgbColor rgb="FFFF8080"/>
      <rgbColor rgb="FF2B6CB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6314A"/>
      <rgbColor rgb="FF339966"/>
      <rgbColor rgb="FF003300"/>
      <rgbColor rgb="FF333300"/>
      <rgbColor rgb="FF993300"/>
      <rgbColor rgb="FF993366"/>
      <rgbColor rgb="FF2153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Zugeordnetes Zielgeld im gemeinsamen Verlauf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"Budget A"</c:f>
              <c:strCache>
                <c:ptCount val="1"/>
                <c:pt idx="0">
                  <c:v>Budget A</c:v>
                </c:pt>
              </c:strCache>
            </c:strRef>
          </c:tx>
          <c:spPr>
            <a:solidFill>
              <a:srgbClr val="2b6cb0"/>
            </a:solidFill>
            <a:ln w="28440">
              <a:solidFill>
                <a:srgbClr val="2b6cb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Ergebnis!$A$45:$A$105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48</c:v>
                </c:pt>
                <c:pt idx="50">
                  <c:v>48</c:v>
                </c:pt>
                <c:pt idx="51">
                  <c:v>48</c:v>
                </c:pt>
                <c:pt idx="52">
                  <c:v>48</c:v>
                </c:pt>
                <c:pt idx="53">
                  <c:v>48</c:v>
                </c:pt>
                <c:pt idx="54">
                  <c:v>48</c:v>
                </c:pt>
                <c:pt idx="55">
                  <c:v>48</c:v>
                </c:pt>
                <c:pt idx="56">
                  <c:v>48</c:v>
                </c:pt>
                <c:pt idx="57">
                  <c:v>48</c:v>
                </c:pt>
                <c:pt idx="58">
                  <c:v>48</c:v>
                </c:pt>
                <c:pt idx="59">
                  <c:v>48</c:v>
                </c:pt>
                <c:pt idx="60">
                  <c:v>48</c:v>
                </c:pt>
              </c:numCache>
            </c:numRef>
          </c:xVal>
          <c:yVal>
            <c:numRef>
              <c:f>Ergebnis!$B$45:$B$105</c:f>
              <c:numCache>
                <c:formatCode>[$-407]#,##0.00" €";[RED][$-407]\-#,##0.00" €";[$-407]0.00" €"</c:formatCode>
                <c:ptCount val="61"/>
                <c:pt idx="0">
                  <c:v>26000</c:v>
                </c:pt>
                <c:pt idx="1">
                  <c:v>26350</c:v>
                </c:pt>
                <c:pt idx="2">
                  <c:v>26700</c:v>
                </c:pt>
                <c:pt idx="3">
                  <c:v>27050</c:v>
                </c:pt>
                <c:pt idx="4">
                  <c:v>27400</c:v>
                </c:pt>
                <c:pt idx="5">
                  <c:v>27750</c:v>
                </c:pt>
                <c:pt idx="6">
                  <c:v>28100</c:v>
                </c:pt>
                <c:pt idx="7">
                  <c:v>28450</c:v>
                </c:pt>
                <c:pt idx="8">
                  <c:v>28800</c:v>
                </c:pt>
                <c:pt idx="9">
                  <c:v>29150</c:v>
                </c:pt>
                <c:pt idx="10">
                  <c:v>29500</c:v>
                </c:pt>
                <c:pt idx="11">
                  <c:v>29850</c:v>
                </c:pt>
                <c:pt idx="12">
                  <c:v>30200</c:v>
                </c:pt>
                <c:pt idx="13">
                  <c:v>30550</c:v>
                </c:pt>
                <c:pt idx="14">
                  <c:v>30900</c:v>
                </c:pt>
                <c:pt idx="15">
                  <c:v>31250</c:v>
                </c:pt>
                <c:pt idx="16">
                  <c:v>31600</c:v>
                </c:pt>
                <c:pt idx="17">
                  <c:v>31950</c:v>
                </c:pt>
                <c:pt idx="18">
                  <c:v>32300</c:v>
                </c:pt>
                <c:pt idx="19">
                  <c:v>32650</c:v>
                </c:pt>
                <c:pt idx="20">
                  <c:v>33000</c:v>
                </c:pt>
                <c:pt idx="21">
                  <c:v>33350</c:v>
                </c:pt>
                <c:pt idx="22">
                  <c:v>33700</c:v>
                </c:pt>
                <c:pt idx="23">
                  <c:v>34050</c:v>
                </c:pt>
                <c:pt idx="24">
                  <c:v>34400</c:v>
                </c:pt>
                <c:pt idx="25">
                  <c:v>34750</c:v>
                </c:pt>
                <c:pt idx="26">
                  <c:v>35100</c:v>
                </c:pt>
                <c:pt idx="27">
                  <c:v>35450</c:v>
                </c:pt>
                <c:pt idx="28">
                  <c:v>35800</c:v>
                </c:pt>
                <c:pt idx="29">
                  <c:v>36150</c:v>
                </c:pt>
                <c:pt idx="30">
                  <c:v>36500</c:v>
                </c:pt>
                <c:pt idx="31">
                  <c:v>36850</c:v>
                </c:pt>
                <c:pt idx="32">
                  <c:v>37200</c:v>
                </c:pt>
                <c:pt idx="33">
                  <c:v>37550</c:v>
                </c:pt>
                <c:pt idx="34">
                  <c:v>37900</c:v>
                </c:pt>
                <c:pt idx="35">
                  <c:v>38250</c:v>
                </c:pt>
                <c:pt idx="36">
                  <c:v>38600</c:v>
                </c:pt>
                <c:pt idx="37">
                  <c:v>38950</c:v>
                </c:pt>
                <c:pt idx="38">
                  <c:v>39300</c:v>
                </c:pt>
                <c:pt idx="39">
                  <c:v>39650</c:v>
                </c:pt>
                <c:pt idx="40">
                  <c:v>40000</c:v>
                </c:pt>
                <c:pt idx="41">
                  <c:v>40350</c:v>
                </c:pt>
                <c:pt idx="42">
                  <c:v>40700</c:v>
                </c:pt>
                <c:pt idx="43">
                  <c:v>41050</c:v>
                </c:pt>
                <c:pt idx="44">
                  <c:v>41400</c:v>
                </c:pt>
                <c:pt idx="45">
                  <c:v>41750</c:v>
                </c:pt>
                <c:pt idx="46">
                  <c:v>42100</c:v>
                </c:pt>
                <c:pt idx="47">
                  <c:v>42450</c:v>
                </c:pt>
                <c:pt idx="48">
                  <c:v>42800</c:v>
                </c:pt>
                <c:pt idx="49">
                  <c:v>42800</c:v>
                </c:pt>
                <c:pt idx="50">
                  <c:v>42800</c:v>
                </c:pt>
                <c:pt idx="51">
                  <c:v>42800</c:v>
                </c:pt>
                <c:pt idx="52">
                  <c:v>42800</c:v>
                </c:pt>
                <c:pt idx="53">
                  <c:v>42800</c:v>
                </c:pt>
                <c:pt idx="54">
                  <c:v>42800</c:v>
                </c:pt>
                <c:pt idx="55">
                  <c:v>42800</c:v>
                </c:pt>
                <c:pt idx="56">
                  <c:v>42800</c:v>
                </c:pt>
                <c:pt idx="57">
                  <c:v>42800</c:v>
                </c:pt>
                <c:pt idx="58">
                  <c:v>42800</c:v>
                </c:pt>
                <c:pt idx="59">
                  <c:v>42800</c:v>
                </c:pt>
                <c:pt idx="60">
                  <c:v>42800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"Budget B"</c:f>
              <c:strCache>
                <c:ptCount val="1"/>
                <c:pt idx="0">
                  <c:v>Budget B</c:v>
                </c:pt>
              </c:strCache>
            </c:strRef>
          </c:tx>
          <c:spPr>
            <a:solidFill>
              <a:srgbClr val="16314a"/>
            </a:solidFill>
            <a:ln w="28440">
              <a:solidFill>
                <a:srgbClr val="16314a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Ergebnis!$A$45:$A$105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48</c:v>
                </c:pt>
                <c:pt idx="50">
                  <c:v>48</c:v>
                </c:pt>
                <c:pt idx="51">
                  <c:v>48</c:v>
                </c:pt>
                <c:pt idx="52">
                  <c:v>48</c:v>
                </c:pt>
                <c:pt idx="53">
                  <c:v>48</c:v>
                </c:pt>
                <c:pt idx="54">
                  <c:v>48</c:v>
                </c:pt>
                <c:pt idx="55">
                  <c:v>48</c:v>
                </c:pt>
                <c:pt idx="56">
                  <c:v>48</c:v>
                </c:pt>
                <c:pt idx="57">
                  <c:v>48</c:v>
                </c:pt>
                <c:pt idx="58">
                  <c:v>48</c:v>
                </c:pt>
                <c:pt idx="59">
                  <c:v>48</c:v>
                </c:pt>
                <c:pt idx="60">
                  <c:v>48</c:v>
                </c:pt>
              </c:numCache>
            </c:numRef>
          </c:xVal>
          <c:yVal>
            <c:numRef>
              <c:f>Ergebnis!$C$45:$C$105</c:f>
              <c:numCache>
                <c:formatCode>[$-407]#,##0.00" €";[RED][$-407]\-#,##0.00" €";[$-407]0.00" €"</c:formatCode>
                <c:ptCount val="61"/>
                <c:pt idx="0">
                  <c:v>26000</c:v>
                </c:pt>
                <c:pt idx="1">
                  <c:v>26350</c:v>
                </c:pt>
                <c:pt idx="2">
                  <c:v>26700</c:v>
                </c:pt>
                <c:pt idx="3">
                  <c:v>27050</c:v>
                </c:pt>
                <c:pt idx="4">
                  <c:v>27400</c:v>
                </c:pt>
                <c:pt idx="5">
                  <c:v>27750</c:v>
                </c:pt>
                <c:pt idx="6">
                  <c:v>28100</c:v>
                </c:pt>
                <c:pt idx="7">
                  <c:v>28450</c:v>
                </c:pt>
                <c:pt idx="8">
                  <c:v>28800</c:v>
                </c:pt>
                <c:pt idx="9">
                  <c:v>29150</c:v>
                </c:pt>
                <c:pt idx="10">
                  <c:v>29500</c:v>
                </c:pt>
                <c:pt idx="11">
                  <c:v>29850</c:v>
                </c:pt>
                <c:pt idx="12">
                  <c:v>30200</c:v>
                </c:pt>
                <c:pt idx="13">
                  <c:v>30400</c:v>
                </c:pt>
                <c:pt idx="14">
                  <c:v>30600</c:v>
                </c:pt>
                <c:pt idx="15">
                  <c:v>30800</c:v>
                </c:pt>
                <c:pt idx="16">
                  <c:v>31000</c:v>
                </c:pt>
                <c:pt idx="17">
                  <c:v>31200</c:v>
                </c:pt>
                <c:pt idx="18">
                  <c:v>31400</c:v>
                </c:pt>
                <c:pt idx="19">
                  <c:v>31750</c:v>
                </c:pt>
                <c:pt idx="20">
                  <c:v>32100</c:v>
                </c:pt>
                <c:pt idx="21">
                  <c:v>32450</c:v>
                </c:pt>
                <c:pt idx="22">
                  <c:v>32800</c:v>
                </c:pt>
                <c:pt idx="23">
                  <c:v>33150</c:v>
                </c:pt>
                <c:pt idx="24">
                  <c:v>33500</c:v>
                </c:pt>
                <c:pt idx="25">
                  <c:v>33850</c:v>
                </c:pt>
                <c:pt idx="26">
                  <c:v>34200</c:v>
                </c:pt>
                <c:pt idx="27">
                  <c:v>34550</c:v>
                </c:pt>
                <c:pt idx="28">
                  <c:v>34900</c:v>
                </c:pt>
                <c:pt idx="29">
                  <c:v>35250</c:v>
                </c:pt>
                <c:pt idx="30">
                  <c:v>35600</c:v>
                </c:pt>
                <c:pt idx="31">
                  <c:v>35950</c:v>
                </c:pt>
                <c:pt idx="32">
                  <c:v>36300</c:v>
                </c:pt>
                <c:pt idx="33">
                  <c:v>36650</c:v>
                </c:pt>
                <c:pt idx="34">
                  <c:v>37000</c:v>
                </c:pt>
                <c:pt idx="35">
                  <c:v>37350</c:v>
                </c:pt>
                <c:pt idx="36">
                  <c:v>37700</c:v>
                </c:pt>
                <c:pt idx="37">
                  <c:v>38050</c:v>
                </c:pt>
                <c:pt idx="38">
                  <c:v>38400</c:v>
                </c:pt>
                <c:pt idx="39">
                  <c:v>38750</c:v>
                </c:pt>
                <c:pt idx="40">
                  <c:v>39100</c:v>
                </c:pt>
                <c:pt idx="41">
                  <c:v>39450</c:v>
                </c:pt>
                <c:pt idx="42">
                  <c:v>39800</c:v>
                </c:pt>
                <c:pt idx="43">
                  <c:v>40150</c:v>
                </c:pt>
                <c:pt idx="44">
                  <c:v>40500</c:v>
                </c:pt>
                <c:pt idx="45">
                  <c:v>40850</c:v>
                </c:pt>
                <c:pt idx="46">
                  <c:v>41200</c:v>
                </c:pt>
                <c:pt idx="47">
                  <c:v>41550</c:v>
                </c:pt>
                <c:pt idx="48">
                  <c:v>41900</c:v>
                </c:pt>
                <c:pt idx="49">
                  <c:v>41900</c:v>
                </c:pt>
                <c:pt idx="50">
                  <c:v>41900</c:v>
                </c:pt>
                <c:pt idx="51">
                  <c:v>41900</c:v>
                </c:pt>
                <c:pt idx="52">
                  <c:v>41900</c:v>
                </c:pt>
                <c:pt idx="53">
                  <c:v>41900</c:v>
                </c:pt>
                <c:pt idx="54">
                  <c:v>41900</c:v>
                </c:pt>
                <c:pt idx="55">
                  <c:v>41900</c:v>
                </c:pt>
                <c:pt idx="56">
                  <c:v>41900</c:v>
                </c:pt>
                <c:pt idx="57">
                  <c:v>41900</c:v>
                </c:pt>
                <c:pt idx="58">
                  <c:v>41900</c:v>
                </c:pt>
                <c:pt idx="59">
                  <c:v>41900</c:v>
                </c:pt>
                <c:pt idx="60">
                  <c:v>41900</c:v>
                </c:pt>
              </c:numCache>
            </c:numRef>
          </c:yVal>
          <c:smooth val="0"/>
        </c:ser>
        <c:axId val="94563036"/>
        <c:axId val="30976196"/>
      </c:scatterChart>
      <c:valAx>
        <c:axId val="94563036"/>
        <c:scaling>
          <c:orientation val="minMax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976196"/>
        <c:crosses val="autoZero"/>
        <c:crossBetween val="midCat"/>
      </c:valAx>
      <c:valAx>
        <c:axId val="30976196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Zugeordnetes Geld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[$-407]#,##0.00&quot; €&quot;;[RED][$-407]\-#,##0.00&quot; €&quot;;[$-407]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563036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7</xdr:col>
      <xdr:colOff>612000</xdr:colOff>
      <xdr:row>39</xdr:row>
      <xdr:rowOff>170640</xdr:rowOff>
    </xdr:to>
    <xdr:graphicFrame>
      <xdr:nvGraphicFramePr>
        <xdr:cNvPr id="0" name="Chart 1"/>
        <xdr:cNvGraphicFramePr/>
      </xdr:nvGraphicFramePr>
      <xdr:xfrm>
        <a:off x="0" y="5838840"/>
        <a:ext cx="89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4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9"/>
    <col collapsed="false" customWidth="true" hidden="false" outlineLevel="0" max="6" min="6" style="0" width="22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</row>
    <row r="4" customFormat="false" ht="33.75" hidden="false" customHeight="true" outlineLevel="0" collapsed="false">
      <c r="A4" s="2" t="s">
        <v>1</v>
      </c>
      <c r="B4" s="2"/>
      <c r="C4" s="2"/>
      <c r="D4" s="2"/>
      <c r="E4" s="2"/>
      <c r="F4" s="2"/>
    </row>
    <row r="6" customFormat="false" ht="22.5" hidden="false" customHeight="true" outlineLevel="0" collapsed="false">
      <c r="A6" s="3" t="s">
        <v>2</v>
      </c>
      <c r="B6" s="3"/>
      <c r="C6" s="3"/>
      <c r="D6" s="3"/>
      <c r="E6" s="3"/>
      <c r="F6" s="3"/>
    </row>
    <row r="7" customFormat="false" ht="48" hidden="false" customHeight="true" outlineLevel="0" collapsed="false">
      <c r="A7" s="2" t="s">
        <v>3</v>
      </c>
      <c r="B7" s="2"/>
      <c r="C7" s="2"/>
      <c r="D7" s="2"/>
      <c r="E7" s="2"/>
      <c r="F7" s="2"/>
    </row>
    <row r="10" customFormat="false" ht="22.5" hidden="false" customHeight="true" outlineLevel="0" collapsed="false">
      <c r="A10" s="3" t="s">
        <v>4</v>
      </c>
      <c r="B10" s="3"/>
      <c r="C10" s="3"/>
      <c r="D10" s="3"/>
      <c r="E10" s="3"/>
      <c r="F10" s="3"/>
    </row>
    <row r="11" customFormat="false" ht="48" hidden="false" customHeight="true" outlineLevel="0" collapsed="false">
      <c r="A11" s="2" t="s">
        <v>5</v>
      </c>
      <c r="B11" s="2"/>
      <c r="C11" s="2"/>
      <c r="D11" s="2"/>
      <c r="E11" s="2"/>
      <c r="F11" s="2"/>
    </row>
    <row r="14" customFormat="false" ht="22.5" hidden="false" customHeight="true" outlineLevel="0" collapsed="false">
      <c r="A14" s="3" t="s">
        <v>6</v>
      </c>
      <c r="B14" s="3"/>
      <c r="C14" s="3"/>
      <c r="D14" s="3"/>
      <c r="E14" s="3"/>
      <c r="F14" s="3"/>
    </row>
    <row r="15" customFormat="false" ht="48" hidden="false" customHeight="true" outlineLevel="0" collapsed="false">
      <c r="A15" s="2" t="s">
        <v>7</v>
      </c>
      <c r="B15" s="2"/>
      <c r="C15" s="2"/>
      <c r="D15" s="2"/>
      <c r="E15" s="2"/>
      <c r="F15" s="2"/>
    </row>
    <row r="18" customFormat="false" ht="22.5" hidden="false" customHeight="true" outlineLevel="0" collapsed="false">
      <c r="A18" s="3" t="s">
        <v>8</v>
      </c>
      <c r="B18" s="3"/>
      <c r="C18" s="3"/>
      <c r="D18" s="3"/>
      <c r="E18" s="3"/>
      <c r="F18" s="3"/>
    </row>
    <row r="19" customFormat="false" ht="54.75" hidden="false" customHeight="true" outlineLevel="0" collapsed="false">
      <c r="A19" s="2" t="s">
        <v>9</v>
      </c>
      <c r="B19" s="2"/>
      <c r="C19" s="2"/>
      <c r="D19" s="2"/>
      <c r="E19" s="2"/>
      <c r="F19" s="2"/>
    </row>
    <row r="23" customFormat="false" ht="22.5" hidden="false" customHeight="true" outlineLevel="0" collapsed="false">
      <c r="A23" s="3" t="s">
        <v>10</v>
      </c>
      <c r="B23" s="3"/>
      <c r="C23" s="3"/>
      <c r="D23" s="3"/>
      <c r="E23" s="3"/>
      <c r="F23" s="3"/>
    </row>
    <row r="24" customFormat="false" ht="54.75" hidden="false" customHeight="true" outlineLevel="0" collapsed="false">
      <c r="A24" s="2" t="s">
        <v>11</v>
      </c>
      <c r="B24" s="2"/>
      <c r="C24" s="2"/>
      <c r="D24" s="2"/>
      <c r="E24" s="2"/>
      <c r="F24" s="2"/>
    </row>
    <row r="28" customFormat="false" ht="22.5" hidden="false" customHeight="true" outlineLevel="0" collapsed="false">
      <c r="A28" s="3" t="s">
        <v>12</v>
      </c>
      <c r="B28" s="3"/>
      <c r="C28" s="3"/>
      <c r="D28" s="3"/>
      <c r="E28" s="3"/>
      <c r="F28" s="3"/>
    </row>
    <row r="29" customFormat="false" ht="48" hidden="false" customHeight="true" outlineLevel="0" collapsed="false">
      <c r="A29" s="2" t="s">
        <v>13</v>
      </c>
      <c r="B29" s="2"/>
      <c r="C29" s="2"/>
      <c r="D29" s="2"/>
      <c r="E29" s="2"/>
      <c r="F29" s="2"/>
    </row>
    <row r="33" customFormat="false" ht="22.5" hidden="false" customHeight="true" outlineLevel="0" collapsed="false">
      <c r="A33" s="3" t="s">
        <v>14</v>
      </c>
      <c r="B33" s="3"/>
      <c r="C33" s="3"/>
      <c r="D33" s="3"/>
      <c r="E33" s="3"/>
      <c r="F33" s="3"/>
    </row>
    <row r="34" customFormat="false" ht="48" hidden="false" customHeight="true" outlineLevel="0" collapsed="false">
      <c r="A34" s="2" t="s">
        <v>15</v>
      </c>
      <c r="B34" s="2"/>
      <c r="C34" s="2"/>
      <c r="D34" s="2"/>
      <c r="E34" s="2"/>
      <c r="F34" s="2"/>
    </row>
  </sheetData>
  <mergeCells count="16">
    <mergeCell ref="A1:F2"/>
    <mergeCell ref="A4:F4"/>
    <mergeCell ref="A6:F6"/>
    <mergeCell ref="A7:F7"/>
    <mergeCell ref="A10:F10"/>
    <mergeCell ref="A11:F11"/>
    <mergeCell ref="A14:F14"/>
    <mergeCell ref="A15:F15"/>
    <mergeCell ref="A18:F18"/>
    <mergeCell ref="A19:F19"/>
    <mergeCell ref="A23:F23"/>
    <mergeCell ref="A24:F24"/>
    <mergeCell ref="A28:F28"/>
    <mergeCell ref="A29:F29"/>
    <mergeCell ref="A33:F33"/>
    <mergeCell ref="A34:F34"/>
  </mergeCells>
  <printOptions headings="false" gridLines="false" gridLinesSet="true" horizontalCentered="false" verticalCentered="false"/>
  <pageMargins left="0.3" right="0.3" top="0.35" bottom="0.35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&amp;Linvesthoch3.de · Sparziel-Fahrplan 0.2&amp;R&amp;P / &amp;N</oddFooter>
  </headerFooter>
  <rowBreaks count="1" manualBreakCount="1">
    <brk id="22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5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7"/>
    <col collapsed="false" customWidth="true" hidden="false" outlineLevel="0" max="5" min="5" style="0" width="16"/>
    <col collapsed="false" customWidth="true" hidden="false" outlineLevel="0" max="6" min="6" style="0" width="17"/>
    <col collapsed="false" customWidth="true" hidden="false" outlineLevel="0" max="7" min="7" style="0" width="16"/>
    <col collapsed="false" customWidth="true" hidden="false" outlineLevel="0" max="9" min="8" style="0" width="11"/>
  </cols>
  <sheetData>
    <row r="1" customFormat="false" ht="24" hidden="false" customHeight="true" outlineLevel="0" collapsed="false">
      <c r="A1" s="1" t="s">
        <v>16</v>
      </c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</row>
    <row r="4" customFormat="false" ht="36" hidden="false" customHeight="true" outlineLevel="0" collapsed="false">
      <c r="A4" s="2" t="s">
        <v>17</v>
      </c>
      <c r="B4" s="2"/>
      <c r="C4" s="2"/>
      <c r="D4" s="2"/>
      <c r="E4" s="2"/>
      <c r="F4" s="2"/>
      <c r="G4" s="2"/>
      <c r="H4" s="2"/>
      <c r="I4" s="2"/>
    </row>
    <row r="6" customFormat="false" ht="15" hidden="false" customHeight="false" outlineLevel="0" collapsed="false">
      <c r="A6" s="4" t="s">
        <v>18</v>
      </c>
      <c r="B6" s="2" t="str">
        <f aca="false">Ziele!B18</f>
        <v>Plan bereit</v>
      </c>
      <c r="C6" s="2"/>
      <c r="D6" s="2"/>
      <c r="E6" s="2"/>
      <c r="F6" s="2"/>
      <c r="G6" s="2"/>
      <c r="H6" s="2"/>
      <c r="I6" s="2"/>
    </row>
    <row r="9" customFormat="false" ht="33.75" hidden="false" customHeight="true" outlineLevel="0" collapsed="false">
      <c r="A9" s="5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</row>
    <row r="10" customFormat="false" ht="27" hidden="false" customHeight="true" outlineLevel="0" collapsed="false">
      <c r="A10" s="6" t="str">
        <f aca="false">IF(AND(Ziele!$B$18="Plan bereit",Ziele!C10&gt;0),Ziele!A10,"")</f>
        <v>Reserve</v>
      </c>
      <c r="B10" s="7" t="n">
        <f aca="false">IF(AND(Ziele!$B$18="Plan bereit",Ziele!C10&gt;0),Ziele!C10,"")</f>
        <v>10000</v>
      </c>
      <c r="C10" s="6" t="n">
        <f aca="false">IF(AND(Ziele!$B$18="Plan bereit",Ziele!C10&gt;0),Ziele!D10,"")</f>
        <v>10</v>
      </c>
      <c r="D10" s="7" t="n">
        <f aca="false">IF(AND(Ziele!$B$18="Plan bereit",Ziele!C10&gt;0),INDEX('Monate A'!B$75:B$134,Ziele!D10),"")</f>
        <v>10000</v>
      </c>
      <c r="E10" s="7" t="n">
        <f aca="false">IF(AND(Ziele!$B$18="Plan bereit",Ziele!C10&gt;0),MAX(0,ROUND(B10-D10,2)),"")</f>
        <v>0</v>
      </c>
      <c r="F10" s="7" t="n">
        <f aca="false">IF(AND(Ziele!$B$18="Plan bereit",Ziele!C10&gt;0),INDEX('Monate B'!B$75:B$134,Ziele!D10),"")</f>
        <v>10000</v>
      </c>
      <c r="G10" s="7" t="n">
        <f aca="false">IF(AND(Ziele!$B$18="Plan bereit",Ziele!C10&gt;0),MAX(0,ROUND(B10-F10,2)),"")</f>
        <v>0</v>
      </c>
      <c r="H10" s="8" t="n">
        <f aca="false">IF(AND(Ziele!$B$18="Plan bereit",Ziele!C10&gt;0),IF(Ziele!B10&gt;=Ziele!C10,0,IF(COUNT('Monate A'!I$75:I$134)=0,"offen",MIN('Monate A'!I$75:I$134))),"")</f>
        <v>10</v>
      </c>
      <c r="I10" s="8" t="n">
        <f aca="false">IF(AND(Ziele!$B$18="Plan bereit",Ziele!C10&gt;0),IF(Ziele!B10&gt;=Ziele!C10,0,IF(COUNT('Monate B'!I$75:I$134)=0,"offen",MIN('Monate B'!I$75:I$134))),"")</f>
        <v>10</v>
      </c>
    </row>
    <row r="11" customFormat="false" ht="27" hidden="false" customHeight="true" outlineLevel="0" collapsed="false">
      <c r="A11" s="6" t="str">
        <f aca="false">IF(AND(Ziele!$B$18="Plan bereit",Ziele!C11&gt;0),Ziele!A11,"")</f>
        <v>Eigenkapital</v>
      </c>
      <c r="B11" s="7" t="n">
        <f aca="false">IF(AND(Ziele!$B$18="Plan bereit",Ziele!C11&gt;0),Ziele!C11,"")</f>
        <v>40000</v>
      </c>
      <c r="C11" s="6" t="n">
        <f aca="false">IF(AND(Ziele!$B$18="Plan bereit",Ziele!C11&gt;0),Ziele!D11,"")</f>
        <v>48</v>
      </c>
      <c r="D11" s="7" t="n">
        <f aca="false">IF(AND(Ziele!$B$18="Plan bereit",Ziele!C11&gt;0),INDEX('Monate A'!C$75:C$134,Ziele!D11),"")</f>
        <v>32800</v>
      </c>
      <c r="E11" s="7" t="n">
        <f aca="false">IF(AND(Ziele!$B$18="Plan bereit",Ziele!C11&gt;0),MAX(0,ROUND(B11-D11,2)),"")</f>
        <v>7200</v>
      </c>
      <c r="F11" s="7" t="n">
        <f aca="false">IF(AND(Ziele!$B$18="Plan bereit",Ziele!C11&gt;0),INDEX('Monate B'!C$75:C$134,Ziele!D11),"")</f>
        <v>31900</v>
      </c>
      <c r="G11" s="7" t="n">
        <f aca="false">IF(AND(Ziele!$B$18="Plan bereit",Ziele!C11&gt;0),MAX(0,ROUND(B11-F11,2)),"")</f>
        <v>8100</v>
      </c>
      <c r="H11" s="8" t="str">
        <f aca="false">IF(AND(Ziele!$B$18="Plan bereit",Ziele!C11&gt;0),IF(Ziele!B11&gt;=Ziele!C11,0,IF(COUNT('Monate A'!J$75:J$134)=0,"offen",MIN('Monate A'!J$75:J$134))),"")</f>
        <v>offen</v>
      </c>
      <c r="I11" s="8" t="str">
        <f aca="false">IF(AND(Ziele!$B$18="Plan bereit",Ziele!C11&gt;0),IF(Ziele!B11&gt;=Ziele!C11,0,IF(COUNT('Monate B'!J$75:J$134)=0,"offen",MIN('Monate B'!J$75:J$134))),"")</f>
        <v>offen</v>
      </c>
    </row>
    <row r="12" customFormat="false" ht="27" hidden="false" customHeight="true" outlineLevel="0" collapsed="false">
      <c r="A12" s="6" t="str">
        <f aca="false">IF(AND(Ziele!$B$18="Plan bereit",Ziele!C12&gt;0),Ziele!A12,"")</f>
        <v/>
      </c>
      <c r="B12" s="7" t="str">
        <f aca="false">IF(AND(Ziele!$B$18="Plan bereit",Ziele!C12&gt;0),Ziele!C12,"")</f>
        <v/>
      </c>
      <c r="C12" s="6" t="str">
        <f aca="false">IF(AND(Ziele!$B$18="Plan bereit",Ziele!C12&gt;0),Ziele!D12,"")</f>
        <v/>
      </c>
      <c r="D12" s="7" t="str">
        <f aca="false">IF(AND(Ziele!$B$18="Plan bereit",Ziele!C12&gt;0),INDEX('Monate A'!D$75:D$134,Ziele!D12),"")</f>
        <v/>
      </c>
      <c r="E12" s="7" t="str">
        <f aca="false">IF(AND(Ziele!$B$18="Plan bereit",Ziele!C12&gt;0),MAX(0,ROUND(B12-D12,2)),"")</f>
        <v/>
      </c>
      <c r="F12" s="7" t="str">
        <f aca="false">IF(AND(Ziele!$B$18="Plan bereit",Ziele!C12&gt;0),INDEX('Monate B'!D$75:D$134,Ziele!D12),"")</f>
        <v/>
      </c>
      <c r="G12" s="7" t="str">
        <f aca="false">IF(AND(Ziele!$B$18="Plan bereit",Ziele!C12&gt;0),MAX(0,ROUND(B12-F12,2)),"")</f>
        <v/>
      </c>
      <c r="H12" s="8" t="str">
        <f aca="false">IF(AND(Ziele!$B$18="Plan bereit",Ziele!C12&gt;0),IF(Ziele!B12&gt;=Ziele!C12,0,IF(COUNT('Monate A'!K$75:K$134)=0,"offen",MIN('Monate A'!K$75:K$134))),"")</f>
        <v/>
      </c>
      <c r="I12" s="8" t="str">
        <f aca="false">IF(AND(Ziele!$B$18="Plan bereit",Ziele!C12&gt;0),IF(Ziele!B12&gt;=Ziele!C12,0,IF(COUNT('Monate B'!K$75:K$134)=0,"offen",MIN('Monate B'!K$75:K$134))),"")</f>
        <v/>
      </c>
    </row>
    <row r="13" customFormat="false" ht="27" hidden="false" customHeight="true" outlineLevel="0" collapsed="false">
      <c r="A13" s="6" t="str">
        <f aca="false">IF(AND(Ziele!$B$18="Plan bereit",Ziele!C13&gt;0),Ziele!A13,"")</f>
        <v/>
      </c>
      <c r="B13" s="7" t="str">
        <f aca="false">IF(AND(Ziele!$B$18="Plan bereit",Ziele!C13&gt;0),Ziele!C13,"")</f>
        <v/>
      </c>
      <c r="C13" s="6" t="str">
        <f aca="false">IF(AND(Ziele!$B$18="Plan bereit",Ziele!C13&gt;0),Ziele!D13,"")</f>
        <v/>
      </c>
      <c r="D13" s="7" t="str">
        <f aca="false">IF(AND(Ziele!$B$18="Plan bereit",Ziele!C13&gt;0),INDEX('Monate A'!E$75:E$134,Ziele!D13),"")</f>
        <v/>
      </c>
      <c r="E13" s="7" t="str">
        <f aca="false">IF(AND(Ziele!$B$18="Plan bereit",Ziele!C13&gt;0),MAX(0,ROUND(B13-D13,2)),"")</f>
        <v/>
      </c>
      <c r="F13" s="7" t="str">
        <f aca="false">IF(AND(Ziele!$B$18="Plan bereit",Ziele!C13&gt;0),INDEX('Monate B'!E$75:E$134,Ziele!D13),"")</f>
        <v/>
      </c>
      <c r="G13" s="7" t="str">
        <f aca="false">IF(AND(Ziele!$B$18="Plan bereit",Ziele!C13&gt;0),MAX(0,ROUND(B13-F13,2)),"")</f>
        <v/>
      </c>
      <c r="H13" s="8" t="str">
        <f aca="false">IF(AND(Ziele!$B$18="Plan bereit",Ziele!C13&gt;0),IF(Ziele!B13&gt;=Ziele!C13,0,IF(COUNT('Monate A'!L$75:L$134)=0,"offen",MIN('Monate A'!L$75:L$134))),"")</f>
        <v/>
      </c>
      <c r="I13" s="8" t="str">
        <f aca="false">IF(AND(Ziele!$B$18="Plan bereit",Ziele!C13&gt;0),IF(Ziele!B13&gt;=Ziele!C13,0,IF(COUNT('Monate B'!L$75:L$134)=0,"offen",MIN('Monate B'!L$75:L$134))),"")</f>
        <v/>
      </c>
    </row>
    <row r="14" customFormat="false" ht="27" hidden="false" customHeight="true" outlineLevel="0" collapsed="false">
      <c r="A14" s="6" t="str">
        <f aca="false">IF(AND(Ziele!$B$18="Plan bereit",Ziele!C14&gt;0),Ziele!A14,"")</f>
        <v/>
      </c>
      <c r="B14" s="7" t="str">
        <f aca="false">IF(AND(Ziele!$B$18="Plan bereit",Ziele!C14&gt;0),Ziele!C14,"")</f>
        <v/>
      </c>
      <c r="C14" s="6" t="str">
        <f aca="false">IF(AND(Ziele!$B$18="Plan bereit",Ziele!C14&gt;0),Ziele!D14,"")</f>
        <v/>
      </c>
      <c r="D14" s="7" t="str">
        <f aca="false">IF(AND(Ziele!$B$18="Plan bereit",Ziele!C14&gt;0),INDEX('Monate A'!F$75:F$134,Ziele!D14),"")</f>
        <v/>
      </c>
      <c r="E14" s="7" t="str">
        <f aca="false">IF(AND(Ziele!$B$18="Plan bereit",Ziele!C14&gt;0),MAX(0,ROUND(B14-D14,2)),"")</f>
        <v/>
      </c>
      <c r="F14" s="7" t="str">
        <f aca="false">IF(AND(Ziele!$B$18="Plan bereit",Ziele!C14&gt;0),INDEX('Monate B'!F$75:F$134,Ziele!D14),"")</f>
        <v/>
      </c>
      <c r="G14" s="7" t="str">
        <f aca="false">IF(AND(Ziele!$B$18="Plan bereit",Ziele!C14&gt;0),MAX(0,ROUND(B14-F14,2)),"")</f>
        <v/>
      </c>
      <c r="H14" s="8" t="str">
        <f aca="false">IF(AND(Ziele!$B$18="Plan bereit",Ziele!C14&gt;0),IF(Ziele!B14&gt;=Ziele!C14,0,IF(COUNT('Monate A'!M$75:M$134)=0,"offen",MIN('Monate A'!M$75:M$134))),"")</f>
        <v/>
      </c>
      <c r="I14" s="8" t="str">
        <f aca="false">IF(AND(Ziele!$B$18="Plan bereit",Ziele!C14&gt;0),IF(Ziele!B14&gt;=Ziele!C14,0,IF(COUNT('Monate B'!M$75:M$134)=0,"offen",MIN('Monate B'!M$75:M$134))),"")</f>
        <v/>
      </c>
    </row>
    <row r="15" customFormat="false" ht="27" hidden="false" customHeight="true" outlineLevel="0" collapsed="false">
      <c r="A15" s="6" t="str">
        <f aca="false">IF(AND(Ziele!$B$18="Plan bereit",Ziele!C15&gt;0),Ziele!A15,"")</f>
        <v/>
      </c>
      <c r="B15" s="7" t="str">
        <f aca="false">IF(AND(Ziele!$B$18="Plan bereit",Ziele!C15&gt;0),Ziele!C15,"")</f>
        <v/>
      </c>
      <c r="C15" s="6" t="str">
        <f aca="false">IF(AND(Ziele!$B$18="Plan bereit",Ziele!C15&gt;0),Ziele!D15,"")</f>
        <v/>
      </c>
      <c r="D15" s="7" t="str">
        <f aca="false">IF(AND(Ziele!$B$18="Plan bereit",Ziele!C15&gt;0),INDEX('Monate A'!G$75:G$134,Ziele!D15),"")</f>
        <v/>
      </c>
      <c r="E15" s="7" t="str">
        <f aca="false">IF(AND(Ziele!$B$18="Plan bereit",Ziele!C15&gt;0),MAX(0,ROUND(B15-D15,2)),"")</f>
        <v/>
      </c>
      <c r="F15" s="7" t="str">
        <f aca="false">IF(AND(Ziele!$B$18="Plan bereit",Ziele!C15&gt;0),INDEX('Monate B'!G$75:G$134,Ziele!D15),"")</f>
        <v/>
      </c>
      <c r="G15" s="7" t="str">
        <f aca="false">IF(AND(Ziele!$B$18="Plan bereit",Ziele!C15&gt;0),MAX(0,ROUND(B15-F15,2)),"")</f>
        <v/>
      </c>
      <c r="H15" s="8" t="str">
        <f aca="false">IF(AND(Ziele!$B$18="Plan bereit",Ziele!C15&gt;0),IF(Ziele!B15&gt;=Ziele!C15,0,IF(COUNT('Monate A'!N$75:N$134)=0,"offen",MIN('Monate A'!N$75:N$134))),"")</f>
        <v/>
      </c>
      <c r="I15" s="8" t="str">
        <f aca="false">IF(AND(Ziele!$B$18="Plan bereit",Ziele!C15&gt;0),IF(Ziele!B15&gt;=Ziele!C15,0,IF(COUNT('Monate B'!N$75:N$134)=0,"offen",MIN('Monate B'!N$75:N$134))),"")</f>
        <v/>
      </c>
    </row>
    <row r="17" customFormat="false" ht="34.5" hidden="false" customHeight="true" outlineLevel="0" collapsed="false">
      <c r="A17" s="2" t="s">
        <v>28</v>
      </c>
      <c r="B17" s="2"/>
      <c r="C17" s="2"/>
      <c r="D17" s="2"/>
      <c r="E17" s="2"/>
      <c r="F17" s="2"/>
      <c r="G17" s="2"/>
      <c r="H17" s="2"/>
      <c r="I17" s="2"/>
    </row>
    <row r="19" customFormat="false" ht="15" hidden="false" customHeight="false" outlineLevel="0" collapsed="false">
      <c r="A19" s="4" t="s">
        <v>29</v>
      </c>
      <c r="D19" s="7" t="n">
        <f aca="false">IF(Ziele!$B$18="Plan bereit",SUM('Monate A'!D7:D66),"")</f>
        <v>0</v>
      </c>
      <c r="F19" s="7" t="n">
        <f aca="false">IF(Ziele!$B$18="Plan bereit",SUM('Monate B'!D7:D66),"")</f>
        <v>0</v>
      </c>
    </row>
    <row r="44" customFormat="false" ht="15" hidden="true" customHeight="false" outlineLevel="0" collapsed="false">
      <c r="A44" s="4" t="s">
        <v>30</v>
      </c>
      <c r="B44" s="4" t="s">
        <v>31</v>
      </c>
      <c r="C44" s="4" t="s">
        <v>32</v>
      </c>
    </row>
    <row r="45" customFormat="false" ht="15" hidden="true" customHeight="false" outlineLevel="0" collapsed="false">
      <c r="A45" s="6" t="n">
        <f aca="false">IF(Ziele!$B$18="Plan bereit",MIN(0,Ziele!$B$5),"")</f>
        <v>0</v>
      </c>
      <c r="B45" s="7" t="n">
        <f aca="false">IF(Ziele!$B$18="Plan bereit",SUM(Ziele!B10:B15),"")</f>
        <v>26000</v>
      </c>
      <c r="C45" s="7" t="n">
        <f aca="false">IF(Ziele!$B$18="Plan bereit",SUM(Ziele!B10:B15),"")</f>
        <v>26000</v>
      </c>
    </row>
    <row r="46" customFormat="false" ht="15" hidden="true" customHeight="false" outlineLevel="0" collapsed="false">
      <c r="A46" s="6" t="n">
        <f aca="false">IF(Ziele!$B$18="Plan bereit",MIN(1,Ziele!$B$5),"")</f>
        <v>1</v>
      </c>
      <c r="B46" s="7" t="n">
        <f aca="false">IF(Ziele!$B$18="Plan bereit",INDEX('Monate A'!$H$75:$H$134,MIN(1,Ziele!$B$5)),"")</f>
        <v>26350</v>
      </c>
      <c r="C46" s="7" t="n">
        <f aca="false">IF(Ziele!$B$18="Plan bereit",INDEX('Monate B'!$H$75:$H$134,MIN(1,Ziele!$B$5)),"")</f>
        <v>26350</v>
      </c>
    </row>
    <row r="47" customFormat="false" ht="15" hidden="true" customHeight="false" outlineLevel="0" collapsed="false">
      <c r="A47" s="6" t="n">
        <f aca="false">IF(Ziele!$B$18="Plan bereit",MIN(2,Ziele!$B$5),"")</f>
        <v>2</v>
      </c>
      <c r="B47" s="7" t="n">
        <f aca="false">IF(Ziele!$B$18="Plan bereit",INDEX('Monate A'!$H$75:$H$134,MIN(2,Ziele!$B$5)),"")</f>
        <v>26700</v>
      </c>
      <c r="C47" s="7" t="n">
        <f aca="false">IF(Ziele!$B$18="Plan bereit",INDEX('Monate B'!$H$75:$H$134,MIN(2,Ziele!$B$5)),"")</f>
        <v>26700</v>
      </c>
    </row>
    <row r="48" customFormat="false" ht="15" hidden="true" customHeight="false" outlineLevel="0" collapsed="false">
      <c r="A48" s="6" t="n">
        <f aca="false">IF(Ziele!$B$18="Plan bereit",MIN(3,Ziele!$B$5),"")</f>
        <v>3</v>
      </c>
      <c r="B48" s="7" t="n">
        <f aca="false">IF(Ziele!$B$18="Plan bereit",INDEX('Monate A'!$H$75:$H$134,MIN(3,Ziele!$B$5)),"")</f>
        <v>27050</v>
      </c>
      <c r="C48" s="7" t="n">
        <f aca="false">IF(Ziele!$B$18="Plan bereit",INDEX('Monate B'!$H$75:$H$134,MIN(3,Ziele!$B$5)),"")</f>
        <v>27050</v>
      </c>
    </row>
    <row r="49" customFormat="false" ht="15" hidden="true" customHeight="false" outlineLevel="0" collapsed="false">
      <c r="A49" s="6" t="n">
        <f aca="false">IF(Ziele!$B$18="Plan bereit",MIN(4,Ziele!$B$5),"")</f>
        <v>4</v>
      </c>
      <c r="B49" s="7" t="n">
        <f aca="false">IF(Ziele!$B$18="Plan bereit",INDEX('Monate A'!$H$75:$H$134,MIN(4,Ziele!$B$5)),"")</f>
        <v>27400</v>
      </c>
      <c r="C49" s="7" t="n">
        <f aca="false">IF(Ziele!$B$18="Plan bereit",INDEX('Monate B'!$H$75:$H$134,MIN(4,Ziele!$B$5)),"")</f>
        <v>27400</v>
      </c>
    </row>
    <row r="50" customFormat="false" ht="15" hidden="true" customHeight="false" outlineLevel="0" collapsed="false">
      <c r="A50" s="6" t="n">
        <f aca="false">IF(Ziele!$B$18="Plan bereit",MIN(5,Ziele!$B$5),"")</f>
        <v>5</v>
      </c>
      <c r="B50" s="7" t="n">
        <f aca="false">IF(Ziele!$B$18="Plan bereit",INDEX('Monate A'!$H$75:$H$134,MIN(5,Ziele!$B$5)),"")</f>
        <v>27750</v>
      </c>
      <c r="C50" s="7" t="n">
        <f aca="false">IF(Ziele!$B$18="Plan bereit",INDEX('Monate B'!$H$75:$H$134,MIN(5,Ziele!$B$5)),"")</f>
        <v>27750</v>
      </c>
    </row>
    <row r="51" customFormat="false" ht="15" hidden="true" customHeight="false" outlineLevel="0" collapsed="false">
      <c r="A51" s="6" t="n">
        <f aca="false">IF(Ziele!$B$18="Plan bereit",MIN(6,Ziele!$B$5),"")</f>
        <v>6</v>
      </c>
      <c r="B51" s="7" t="n">
        <f aca="false">IF(Ziele!$B$18="Plan bereit",INDEX('Monate A'!$H$75:$H$134,MIN(6,Ziele!$B$5)),"")</f>
        <v>28100</v>
      </c>
      <c r="C51" s="7" t="n">
        <f aca="false">IF(Ziele!$B$18="Plan bereit",INDEX('Monate B'!$H$75:$H$134,MIN(6,Ziele!$B$5)),"")</f>
        <v>28100</v>
      </c>
    </row>
    <row r="52" customFormat="false" ht="15" hidden="true" customHeight="false" outlineLevel="0" collapsed="false">
      <c r="A52" s="6" t="n">
        <f aca="false">IF(Ziele!$B$18="Plan bereit",MIN(7,Ziele!$B$5),"")</f>
        <v>7</v>
      </c>
      <c r="B52" s="7" t="n">
        <f aca="false">IF(Ziele!$B$18="Plan bereit",INDEX('Monate A'!$H$75:$H$134,MIN(7,Ziele!$B$5)),"")</f>
        <v>28450</v>
      </c>
      <c r="C52" s="7" t="n">
        <f aca="false">IF(Ziele!$B$18="Plan bereit",INDEX('Monate B'!$H$75:$H$134,MIN(7,Ziele!$B$5)),"")</f>
        <v>28450</v>
      </c>
    </row>
    <row r="53" customFormat="false" ht="15" hidden="true" customHeight="false" outlineLevel="0" collapsed="false">
      <c r="A53" s="6" t="n">
        <f aca="false">IF(Ziele!$B$18="Plan bereit",MIN(8,Ziele!$B$5),"")</f>
        <v>8</v>
      </c>
      <c r="B53" s="7" t="n">
        <f aca="false">IF(Ziele!$B$18="Plan bereit",INDEX('Monate A'!$H$75:$H$134,MIN(8,Ziele!$B$5)),"")</f>
        <v>28800</v>
      </c>
      <c r="C53" s="7" t="n">
        <f aca="false">IF(Ziele!$B$18="Plan bereit",INDEX('Monate B'!$H$75:$H$134,MIN(8,Ziele!$B$5)),"")</f>
        <v>28800</v>
      </c>
    </row>
    <row r="54" customFormat="false" ht="15" hidden="true" customHeight="false" outlineLevel="0" collapsed="false">
      <c r="A54" s="6" t="n">
        <f aca="false">IF(Ziele!$B$18="Plan bereit",MIN(9,Ziele!$B$5),"")</f>
        <v>9</v>
      </c>
      <c r="B54" s="7" t="n">
        <f aca="false">IF(Ziele!$B$18="Plan bereit",INDEX('Monate A'!$H$75:$H$134,MIN(9,Ziele!$B$5)),"")</f>
        <v>29150</v>
      </c>
      <c r="C54" s="7" t="n">
        <f aca="false">IF(Ziele!$B$18="Plan bereit",INDEX('Monate B'!$H$75:$H$134,MIN(9,Ziele!$B$5)),"")</f>
        <v>29150</v>
      </c>
    </row>
    <row r="55" customFormat="false" ht="15" hidden="true" customHeight="false" outlineLevel="0" collapsed="false">
      <c r="A55" s="6" t="n">
        <f aca="false">IF(Ziele!$B$18="Plan bereit",MIN(10,Ziele!$B$5),"")</f>
        <v>10</v>
      </c>
      <c r="B55" s="7" t="n">
        <f aca="false">IF(Ziele!$B$18="Plan bereit",INDEX('Monate A'!$H$75:$H$134,MIN(10,Ziele!$B$5)),"")</f>
        <v>29500</v>
      </c>
      <c r="C55" s="7" t="n">
        <f aca="false">IF(Ziele!$B$18="Plan bereit",INDEX('Monate B'!$H$75:$H$134,MIN(10,Ziele!$B$5)),"")</f>
        <v>29500</v>
      </c>
    </row>
    <row r="56" customFormat="false" ht="15" hidden="true" customHeight="false" outlineLevel="0" collapsed="false">
      <c r="A56" s="6" t="n">
        <f aca="false">IF(Ziele!$B$18="Plan bereit",MIN(11,Ziele!$B$5),"")</f>
        <v>11</v>
      </c>
      <c r="B56" s="7" t="n">
        <f aca="false">IF(Ziele!$B$18="Plan bereit",INDEX('Monate A'!$H$75:$H$134,MIN(11,Ziele!$B$5)),"")</f>
        <v>29850</v>
      </c>
      <c r="C56" s="7" t="n">
        <f aca="false">IF(Ziele!$B$18="Plan bereit",INDEX('Monate B'!$H$75:$H$134,MIN(11,Ziele!$B$5)),"")</f>
        <v>29850</v>
      </c>
    </row>
    <row r="57" customFormat="false" ht="15" hidden="true" customHeight="false" outlineLevel="0" collapsed="false">
      <c r="A57" s="6" t="n">
        <f aca="false">IF(Ziele!$B$18="Plan bereit",MIN(12,Ziele!$B$5),"")</f>
        <v>12</v>
      </c>
      <c r="B57" s="7" t="n">
        <f aca="false">IF(Ziele!$B$18="Plan bereit",INDEX('Monate A'!$H$75:$H$134,MIN(12,Ziele!$B$5)),"")</f>
        <v>30200</v>
      </c>
      <c r="C57" s="7" t="n">
        <f aca="false">IF(Ziele!$B$18="Plan bereit",INDEX('Monate B'!$H$75:$H$134,MIN(12,Ziele!$B$5)),"")</f>
        <v>30200</v>
      </c>
    </row>
    <row r="58" customFormat="false" ht="15" hidden="true" customHeight="false" outlineLevel="0" collapsed="false">
      <c r="A58" s="6" t="n">
        <f aca="false">IF(Ziele!$B$18="Plan bereit",MIN(13,Ziele!$B$5),"")</f>
        <v>13</v>
      </c>
      <c r="B58" s="7" t="n">
        <f aca="false">IF(Ziele!$B$18="Plan bereit",INDEX('Monate A'!$H$75:$H$134,MIN(13,Ziele!$B$5)),"")</f>
        <v>30550</v>
      </c>
      <c r="C58" s="7" t="n">
        <f aca="false">IF(Ziele!$B$18="Plan bereit",INDEX('Monate B'!$H$75:$H$134,MIN(13,Ziele!$B$5)),"")</f>
        <v>30400</v>
      </c>
    </row>
    <row r="59" customFormat="false" ht="15" hidden="true" customHeight="false" outlineLevel="0" collapsed="false">
      <c r="A59" s="6" t="n">
        <f aca="false">IF(Ziele!$B$18="Plan bereit",MIN(14,Ziele!$B$5),"")</f>
        <v>14</v>
      </c>
      <c r="B59" s="7" t="n">
        <f aca="false">IF(Ziele!$B$18="Plan bereit",INDEX('Monate A'!$H$75:$H$134,MIN(14,Ziele!$B$5)),"")</f>
        <v>30900</v>
      </c>
      <c r="C59" s="7" t="n">
        <f aca="false">IF(Ziele!$B$18="Plan bereit",INDEX('Monate B'!$H$75:$H$134,MIN(14,Ziele!$B$5)),"")</f>
        <v>30600</v>
      </c>
    </row>
    <row r="60" customFormat="false" ht="15" hidden="true" customHeight="false" outlineLevel="0" collapsed="false">
      <c r="A60" s="6" t="n">
        <f aca="false">IF(Ziele!$B$18="Plan bereit",MIN(15,Ziele!$B$5),"")</f>
        <v>15</v>
      </c>
      <c r="B60" s="7" t="n">
        <f aca="false">IF(Ziele!$B$18="Plan bereit",INDEX('Monate A'!$H$75:$H$134,MIN(15,Ziele!$B$5)),"")</f>
        <v>31250</v>
      </c>
      <c r="C60" s="7" t="n">
        <f aca="false">IF(Ziele!$B$18="Plan bereit",INDEX('Monate B'!$H$75:$H$134,MIN(15,Ziele!$B$5)),"")</f>
        <v>30800</v>
      </c>
    </row>
    <row r="61" customFormat="false" ht="15" hidden="true" customHeight="false" outlineLevel="0" collapsed="false">
      <c r="A61" s="6" t="n">
        <f aca="false">IF(Ziele!$B$18="Plan bereit",MIN(16,Ziele!$B$5),"")</f>
        <v>16</v>
      </c>
      <c r="B61" s="7" t="n">
        <f aca="false">IF(Ziele!$B$18="Plan bereit",INDEX('Monate A'!$H$75:$H$134,MIN(16,Ziele!$B$5)),"")</f>
        <v>31600</v>
      </c>
      <c r="C61" s="7" t="n">
        <f aca="false">IF(Ziele!$B$18="Plan bereit",INDEX('Monate B'!$H$75:$H$134,MIN(16,Ziele!$B$5)),"")</f>
        <v>31000</v>
      </c>
    </row>
    <row r="62" customFormat="false" ht="15" hidden="true" customHeight="false" outlineLevel="0" collapsed="false">
      <c r="A62" s="6" t="n">
        <f aca="false">IF(Ziele!$B$18="Plan bereit",MIN(17,Ziele!$B$5),"")</f>
        <v>17</v>
      </c>
      <c r="B62" s="7" t="n">
        <f aca="false">IF(Ziele!$B$18="Plan bereit",INDEX('Monate A'!$H$75:$H$134,MIN(17,Ziele!$B$5)),"")</f>
        <v>31950</v>
      </c>
      <c r="C62" s="7" t="n">
        <f aca="false">IF(Ziele!$B$18="Plan bereit",INDEX('Monate B'!$H$75:$H$134,MIN(17,Ziele!$B$5)),"")</f>
        <v>31200</v>
      </c>
    </row>
    <row r="63" customFormat="false" ht="15" hidden="true" customHeight="false" outlineLevel="0" collapsed="false">
      <c r="A63" s="6" t="n">
        <f aca="false">IF(Ziele!$B$18="Plan bereit",MIN(18,Ziele!$B$5),"")</f>
        <v>18</v>
      </c>
      <c r="B63" s="7" t="n">
        <f aca="false">IF(Ziele!$B$18="Plan bereit",INDEX('Monate A'!$H$75:$H$134,MIN(18,Ziele!$B$5)),"")</f>
        <v>32300</v>
      </c>
      <c r="C63" s="7" t="n">
        <f aca="false">IF(Ziele!$B$18="Plan bereit",INDEX('Monate B'!$H$75:$H$134,MIN(18,Ziele!$B$5)),"")</f>
        <v>31400</v>
      </c>
    </row>
    <row r="64" customFormat="false" ht="15" hidden="true" customHeight="false" outlineLevel="0" collapsed="false">
      <c r="A64" s="6" t="n">
        <f aca="false">IF(Ziele!$B$18="Plan bereit",MIN(19,Ziele!$B$5),"")</f>
        <v>19</v>
      </c>
      <c r="B64" s="7" t="n">
        <f aca="false">IF(Ziele!$B$18="Plan bereit",INDEX('Monate A'!$H$75:$H$134,MIN(19,Ziele!$B$5)),"")</f>
        <v>32650</v>
      </c>
      <c r="C64" s="7" t="n">
        <f aca="false">IF(Ziele!$B$18="Plan bereit",INDEX('Monate B'!$H$75:$H$134,MIN(19,Ziele!$B$5)),"")</f>
        <v>31750</v>
      </c>
    </row>
    <row r="65" customFormat="false" ht="15" hidden="true" customHeight="false" outlineLevel="0" collapsed="false">
      <c r="A65" s="6" t="n">
        <f aca="false">IF(Ziele!$B$18="Plan bereit",MIN(20,Ziele!$B$5),"")</f>
        <v>20</v>
      </c>
      <c r="B65" s="7" t="n">
        <f aca="false">IF(Ziele!$B$18="Plan bereit",INDEX('Monate A'!$H$75:$H$134,MIN(20,Ziele!$B$5)),"")</f>
        <v>33000</v>
      </c>
      <c r="C65" s="7" t="n">
        <f aca="false">IF(Ziele!$B$18="Plan bereit",INDEX('Monate B'!$H$75:$H$134,MIN(20,Ziele!$B$5)),"")</f>
        <v>32100</v>
      </c>
    </row>
    <row r="66" customFormat="false" ht="15" hidden="true" customHeight="false" outlineLevel="0" collapsed="false">
      <c r="A66" s="6" t="n">
        <f aca="false">IF(Ziele!$B$18="Plan bereit",MIN(21,Ziele!$B$5),"")</f>
        <v>21</v>
      </c>
      <c r="B66" s="7" t="n">
        <f aca="false">IF(Ziele!$B$18="Plan bereit",INDEX('Monate A'!$H$75:$H$134,MIN(21,Ziele!$B$5)),"")</f>
        <v>33350</v>
      </c>
      <c r="C66" s="7" t="n">
        <f aca="false">IF(Ziele!$B$18="Plan bereit",INDEX('Monate B'!$H$75:$H$134,MIN(21,Ziele!$B$5)),"")</f>
        <v>32450</v>
      </c>
    </row>
    <row r="67" customFormat="false" ht="15" hidden="true" customHeight="false" outlineLevel="0" collapsed="false">
      <c r="A67" s="6" t="n">
        <f aca="false">IF(Ziele!$B$18="Plan bereit",MIN(22,Ziele!$B$5),"")</f>
        <v>22</v>
      </c>
      <c r="B67" s="7" t="n">
        <f aca="false">IF(Ziele!$B$18="Plan bereit",INDEX('Monate A'!$H$75:$H$134,MIN(22,Ziele!$B$5)),"")</f>
        <v>33700</v>
      </c>
      <c r="C67" s="7" t="n">
        <f aca="false">IF(Ziele!$B$18="Plan bereit",INDEX('Monate B'!$H$75:$H$134,MIN(22,Ziele!$B$5)),"")</f>
        <v>32800</v>
      </c>
    </row>
    <row r="68" customFormat="false" ht="15" hidden="true" customHeight="false" outlineLevel="0" collapsed="false">
      <c r="A68" s="6" t="n">
        <f aca="false">IF(Ziele!$B$18="Plan bereit",MIN(23,Ziele!$B$5),"")</f>
        <v>23</v>
      </c>
      <c r="B68" s="7" t="n">
        <f aca="false">IF(Ziele!$B$18="Plan bereit",INDEX('Monate A'!$H$75:$H$134,MIN(23,Ziele!$B$5)),"")</f>
        <v>34050</v>
      </c>
      <c r="C68" s="7" t="n">
        <f aca="false">IF(Ziele!$B$18="Plan bereit",INDEX('Monate B'!$H$75:$H$134,MIN(23,Ziele!$B$5)),"")</f>
        <v>33150</v>
      </c>
    </row>
    <row r="69" customFormat="false" ht="15" hidden="true" customHeight="false" outlineLevel="0" collapsed="false">
      <c r="A69" s="6" t="n">
        <f aca="false">IF(Ziele!$B$18="Plan bereit",MIN(24,Ziele!$B$5),"")</f>
        <v>24</v>
      </c>
      <c r="B69" s="7" t="n">
        <f aca="false">IF(Ziele!$B$18="Plan bereit",INDEX('Monate A'!$H$75:$H$134,MIN(24,Ziele!$B$5)),"")</f>
        <v>34400</v>
      </c>
      <c r="C69" s="7" t="n">
        <f aca="false">IF(Ziele!$B$18="Plan bereit",INDEX('Monate B'!$H$75:$H$134,MIN(24,Ziele!$B$5)),"")</f>
        <v>33500</v>
      </c>
    </row>
    <row r="70" customFormat="false" ht="15" hidden="true" customHeight="false" outlineLevel="0" collapsed="false">
      <c r="A70" s="6" t="n">
        <f aca="false">IF(Ziele!$B$18="Plan bereit",MIN(25,Ziele!$B$5),"")</f>
        <v>25</v>
      </c>
      <c r="B70" s="7" t="n">
        <f aca="false">IF(Ziele!$B$18="Plan bereit",INDEX('Monate A'!$H$75:$H$134,MIN(25,Ziele!$B$5)),"")</f>
        <v>34750</v>
      </c>
      <c r="C70" s="7" t="n">
        <f aca="false">IF(Ziele!$B$18="Plan bereit",INDEX('Monate B'!$H$75:$H$134,MIN(25,Ziele!$B$5)),"")</f>
        <v>33850</v>
      </c>
    </row>
    <row r="71" customFormat="false" ht="15" hidden="true" customHeight="false" outlineLevel="0" collapsed="false">
      <c r="A71" s="6" t="n">
        <f aca="false">IF(Ziele!$B$18="Plan bereit",MIN(26,Ziele!$B$5),"")</f>
        <v>26</v>
      </c>
      <c r="B71" s="7" t="n">
        <f aca="false">IF(Ziele!$B$18="Plan bereit",INDEX('Monate A'!$H$75:$H$134,MIN(26,Ziele!$B$5)),"")</f>
        <v>35100</v>
      </c>
      <c r="C71" s="7" t="n">
        <f aca="false">IF(Ziele!$B$18="Plan bereit",INDEX('Monate B'!$H$75:$H$134,MIN(26,Ziele!$B$5)),"")</f>
        <v>34200</v>
      </c>
    </row>
    <row r="72" customFormat="false" ht="15" hidden="true" customHeight="false" outlineLevel="0" collapsed="false">
      <c r="A72" s="6" t="n">
        <f aca="false">IF(Ziele!$B$18="Plan bereit",MIN(27,Ziele!$B$5),"")</f>
        <v>27</v>
      </c>
      <c r="B72" s="7" t="n">
        <f aca="false">IF(Ziele!$B$18="Plan bereit",INDEX('Monate A'!$H$75:$H$134,MIN(27,Ziele!$B$5)),"")</f>
        <v>35450</v>
      </c>
      <c r="C72" s="7" t="n">
        <f aca="false">IF(Ziele!$B$18="Plan bereit",INDEX('Monate B'!$H$75:$H$134,MIN(27,Ziele!$B$5)),"")</f>
        <v>34550</v>
      </c>
    </row>
    <row r="73" customFormat="false" ht="15" hidden="true" customHeight="false" outlineLevel="0" collapsed="false">
      <c r="A73" s="6" t="n">
        <f aca="false">IF(Ziele!$B$18="Plan bereit",MIN(28,Ziele!$B$5),"")</f>
        <v>28</v>
      </c>
      <c r="B73" s="7" t="n">
        <f aca="false">IF(Ziele!$B$18="Plan bereit",INDEX('Monate A'!$H$75:$H$134,MIN(28,Ziele!$B$5)),"")</f>
        <v>35800</v>
      </c>
      <c r="C73" s="7" t="n">
        <f aca="false">IF(Ziele!$B$18="Plan bereit",INDEX('Monate B'!$H$75:$H$134,MIN(28,Ziele!$B$5)),"")</f>
        <v>34900</v>
      </c>
    </row>
    <row r="74" customFormat="false" ht="15" hidden="true" customHeight="false" outlineLevel="0" collapsed="false">
      <c r="A74" s="6" t="n">
        <f aca="false">IF(Ziele!$B$18="Plan bereit",MIN(29,Ziele!$B$5),"")</f>
        <v>29</v>
      </c>
      <c r="B74" s="7" t="n">
        <f aca="false">IF(Ziele!$B$18="Plan bereit",INDEX('Monate A'!$H$75:$H$134,MIN(29,Ziele!$B$5)),"")</f>
        <v>36150</v>
      </c>
      <c r="C74" s="7" t="n">
        <f aca="false">IF(Ziele!$B$18="Plan bereit",INDEX('Monate B'!$H$75:$H$134,MIN(29,Ziele!$B$5)),"")</f>
        <v>35250</v>
      </c>
    </row>
    <row r="75" customFormat="false" ht="15" hidden="true" customHeight="false" outlineLevel="0" collapsed="false">
      <c r="A75" s="6" t="n">
        <f aca="false">IF(Ziele!$B$18="Plan bereit",MIN(30,Ziele!$B$5),"")</f>
        <v>30</v>
      </c>
      <c r="B75" s="7" t="n">
        <f aca="false">IF(Ziele!$B$18="Plan bereit",INDEX('Monate A'!$H$75:$H$134,MIN(30,Ziele!$B$5)),"")</f>
        <v>36500</v>
      </c>
      <c r="C75" s="7" t="n">
        <f aca="false">IF(Ziele!$B$18="Plan bereit",INDEX('Monate B'!$H$75:$H$134,MIN(30,Ziele!$B$5)),"")</f>
        <v>35600</v>
      </c>
    </row>
    <row r="76" customFormat="false" ht="15" hidden="true" customHeight="false" outlineLevel="0" collapsed="false">
      <c r="A76" s="6" t="n">
        <f aca="false">IF(Ziele!$B$18="Plan bereit",MIN(31,Ziele!$B$5),"")</f>
        <v>31</v>
      </c>
      <c r="B76" s="7" t="n">
        <f aca="false">IF(Ziele!$B$18="Plan bereit",INDEX('Monate A'!$H$75:$H$134,MIN(31,Ziele!$B$5)),"")</f>
        <v>36850</v>
      </c>
      <c r="C76" s="7" t="n">
        <f aca="false">IF(Ziele!$B$18="Plan bereit",INDEX('Monate B'!$H$75:$H$134,MIN(31,Ziele!$B$5)),"")</f>
        <v>35950</v>
      </c>
    </row>
    <row r="77" customFormat="false" ht="15" hidden="true" customHeight="false" outlineLevel="0" collapsed="false">
      <c r="A77" s="6" t="n">
        <f aca="false">IF(Ziele!$B$18="Plan bereit",MIN(32,Ziele!$B$5),"")</f>
        <v>32</v>
      </c>
      <c r="B77" s="7" t="n">
        <f aca="false">IF(Ziele!$B$18="Plan bereit",INDEX('Monate A'!$H$75:$H$134,MIN(32,Ziele!$B$5)),"")</f>
        <v>37200</v>
      </c>
      <c r="C77" s="7" t="n">
        <f aca="false">IF(Ziele!$B$18="Plan bereit",INDEX('Monate B'!$H$75:$H$134,MIN(32,Ziele!$B$5)),"")</f>
        <v>36300</v>
      </c>
    </row>
    <row r="78" customFormat="false" ht="15" hidden="true" customHeight="false" outlineLevel="0" collapsed="false">
      <c r="A78" s="6" t="n">
        <f aca="false">IF(Ziele!$B$18="Plan bereit",MIN(33,Ziele!$B$5),"")</f>
        <v>33</v>
      </c>
      <c r="B78" s="7" t="n">
        <f aca="false">IF(Ziele!$B$18="Plan bereit",INDEX('Monate A'!$H$75:$H$134,MIN(33,Ziele!$B$5)),"")</f>
        <v>37550</v>
      </c>
      <c r="C78" s="7" t="n">
        <f aca="false">IF(Ziele!$B$18="Plan bereit",INDEX('Monate B'!$H$75:$H$134,MIN(33,Ziele!$B$5)),"")</f>
        <v>36650</v>
      </c>
    </row>
    <row r="79" customFormat="false" ht="15" hidden="true" customHeight="false" outlineLevel="0" collapsed="false">
      <c r="A79" s="6" t="n">
        <f aca="false">IF(Ziele!$B$18="Plan bereit",MIN(34,Ziele!$B$5),"")</f>
        <v>34</v>
      </c>
      <c r="B79" s="7" t="n">
        <f aca="false">IF(Ziele!$B$18="Plan bereit",INDEX('Monate A'!$H$75:$H$134,MIN(34,Ziele!$B$5)),"")</f>
        <v>37900</v>
      </c>
      <c r="C79" s="7" t="n">
        <f aca="false">IF(Ziele!$B$18="Plan bereit",INDEX('Monate B'!$H$75:$H$134,MIN(34,Ziele!$B$5)),"")</f>
        <v>37000</v>
      </c>
    </row>
    <row r="80" customFormat="false" ht="15" hidden="true" customHeight="false" outlineLevel="0" collapsed="false">
      <c r="A80" s="6" t="n">
        <f aca="false">IF(Ziele!$B$18="Plan bereit",MIN(35,Ziele!$B$5),"")</f>
        <v>35</v>
      </c>
      <c r="B80" s="7" t="n">
        <f aca="false">IF(Ziele!$B$18="Plan bereit",INDEX('Monate A'!$H$75:$H$134,MIN(35,Ziele!$B$5)),"")</f>
        <v>38250</v>
      </c>
      <c r="C80" s="7" t="n">
        <f aca="false">IF(Ziele!$B$18="Plan bereit",INDEX('Monate B'!$H$75:$H$134,MIN(35,Ziele!$B$5)),"")</f>
        <v>37350</v>
      </c>
    </row>
    <row r="81" customFormat="false" ht="15" hidden="true" customHeight="false" outlineLevel="0" collapsed="false">
      <c r="A81" s="6" t="n">
        <f aca="false">IF(Ziele!$B$18="Plan bereit",MIN(36,Ziele!$B$5),"")</f>
        <v>36</v>
      </c>
      <c r="B81" s="7" t="n">
        <f aca="false">IF(Ziele!$B$18="Plan bereit",INDEX('Monate A'!$H$75:$H$134,MIN(36,Ziele!$B$5)),"")</f>
        <v>38600</v>
      </c>
      <c r="C81" s="7" t="n">
        <f aca="false">IF(Ziele!$B$18="Plan bereit",INDEX('Monate B'!$H$75:$H$134,MIN(36,Ziele!$B$5)),"")</f>
        <v>37700</v>
      </c>
    </row>
    <row r="82" customFormat="false" ht="15" hidden="true" customHeight="false" outlineLevel="0" collapsed="false">
      <c r="A82" s="6" t="n">
        <f aca="false">IF(Ziele!$B$18="Plan bereit",MIN(37,Ziele!$B$5),"")</f>
        <v>37</v>
      </c>
      <c r="B82" s="7" t="n">
        <f aca="false">IF(Ziele!$B$18="Plan bereit",INDEX('Monate A'!$H$75:$H$134,MIN(37,Ziele!$B$5)),"")</f>
        <v>38950</v>
      </c>
      <c r="C82" s="7" t="n">
        <f aca="false">IF(Ziele!$B$18="Plan bereit",INDEX('Monate B'!$H$75:$H$134,MIN(37,Ziele!$B$5)),"")</f>
        <v>38050</v>
      </c>
    </row>
    <row r="83" customFormat="false" ht="15" hidden="true" customHeight="false" outlineLevel="0" collapsed="false">
      <c r="A83" s="6" t="n">
        <f aca="false">IF(Ziele!$B$18="Plan bereit",MIN(38,Ziele!$B$5),"")</f>
        <v>38</v>
      </c>
      <c r="B83" s="7" t="n">
        <f aca="false">IF(Ziele!$B$18="Plan bereit",INDEX('Monate A'!$H$75:$H$134,MIN(38,Ziele!$B$5)),"")</f>
        <v>39300</v>
      </c>
      <c r="C83" s="7" t="n">
        <f aca="false">IF(Ziele!$B$18="Plan bereit",INDEX('Monate B'!$H$75:$H$134,MIN(38,Ziele!$B$5)),"")</f>
        <v>38400</v>
      </c>
    </row>
    <row r="84" customFormat="false" ht="15" hidden="true" customHeight="false" outlineLevel="0" collapsed="false">
      <c r="A84" s="6" t="n">
        <f aca="false">IF(Ziele!$B$18="Plan bereit",MIN(39,Ziele!$B$5),"")</f>
        <v>39</v>
      </c>
      <c r="B84" s="7" t="n">
        <f aca="false">IF(Ziele!$B$18="Plan bereit",INDEX('Monate A'!$H$75:$H$134,MIN(39,Ziele!$B$5)),"")</f>
        <v>39650</v>
      </c>
      <c r="C84" s="7" t="n">
        <f aca="false">IF(Ziele!$B$18="Plan bereit",INDEX('Monate B'!$H$75:$H$134,MIN(39,Ziele!$B$5)),"")</f>
        <v>38750</v>
      </c>
    </row>
    <row r="85" customFormat="false" ht="15" hidden="true" customHeight="false" outlineLevel="0" collapsed="false">
      <c r="A85" s="6" t="n">
        <f aca="false">IF(Ziele!$B$18="Plan bereit",MIN(40,Ziele!$B$5),"")</f>
        <v>40</v>
      </c>
      <c r="B85" s="7" t="n">
        <f aca="false">IF(Ziele!$B$18="Plan bereit",INDEX('Monate A'!$H$75:$H$134,MIN(40,Ziele!$B$5)),"")</f>
        <v>40000</v>
      </c>
      <c r="C85" s="7" t="n">
        <f aca="false">IF(Ziele!$B$18="Plan bereit",INDEX('Monate B'!$H$75:$H$134,MIN(40,Ziele!$B$5)),"")</f>
        <v>39100</v>
      </c>
    </row>
    <row r="86" customFormat="false" ht="15" hidden="true" customHeight="false" outlineLevel="0" collapsed="false">
      <c r="A86" s="6" t="n">
        <f aca="false">IF(Ziele!$B$18="Plan bereit",MIN(41,Ziele!$B$5),"")</f>
        <v>41</v>
      </c>
      <c r="B86" s="7" t="n">
        <f aca="false">IF(Ziele!$B$18="Plan bereit",INDEX('Monate A'!$H$75:$H$134,MIN(41,Ziele!$B$5)),"")</f>
        <v>40350</v>
      </c>
      <c r="C86" s="7" t="n">
        <f aca="false">IF(Ziele!$B$18="Plan bereit",INDEX('Monate B'!$H$75:$H$134,MIN(41,Ziele!$B$5)),"")</f>
        <v>39450</v>
      </c>
    </row>
    <row r="87" customFormat="false" ht="15" hidden="true" customHeight="false" outlineLevel="0" collapsed="false">
      <c r="A87" s="6" t="n">
        <f aca="false">IF(Ziele!$B$18="Plan bereit",MIN(42,Ziele!$B$5),"")</f>
        <v>42</v>
      </c>
      <c r="B87" s="7" t="n">
        <f aca="false">IF(Ziele!$B$18="Plan bereit",INDEX('Monate A'!$H$75:$H$134,MIN(42,Ziele!$B$5)),"")</f>
        <v>40700</v>
      </c>
      <c r="C87" s="7" t="n">
        <f aca="false">IF(Ziele!$B$18="Plan bereit",INDEX('Monate B'!$H$75:$H$134,MIN(42,Ziele!$B$5)),"")</f>
        <v>39800</v>
      </c>
    </row>
    <row r="88" customFormat="false" ht="15" hidden="true" customHeight="false" outlineLevel="0" collapsed="false">
      <c r="A88" s="6" t="n">
        <f aca="false">IF(Ziele!$B$18="Plan bereit",MIN(43,Ziele!$B$5),"")</f>
        <v>43</v>
      </c>
      <c r="B88" s="7" t="n">
        <f aca="false">IF(Ziele!$B$18="Plan bereit",INDEX('Monate A'!$H$75:$H$134,MIN(43,Ziele!$B$5)),"")</f>
        <v>41050</v>
      </c>
      <c r="C88" s="7" t="n">
        <f aca="false">IF(Ziele!$B$18="Plan bereit",INDEX('Monate B'!$H$75:$H$134,MIN(43,Ziele!$B$5)),"")</f>
        <v>40150</v>
      </c>
    </row>
    <row r="89" customFormat="false" ht="15" hidden="true" customHeight="false" outlineLevel="0" collapsed="false">
      <c r="A89" s="6" t="n">
        <f aca="false">IF(Ziele!$B$18="Plan bereit",MIN(44,Ziele!$B$5),"")</f>
        <v>44</v>
      </c>
      <c r="B89" s="7" t="n">
        <f aca="false">IF(Ziele!$B$18="Plan bereit",INDEX('Monate A'!$H$75:$H$134,MIN(44,Ziele!$B$5)),"")</f>
        <v>41400</v>
      </c>
      <c r="C89" s="7" t="n">
        <f aca="false">IF(Ziele!$B$18="Plan bereit",INDEX('Monate B'!$H$75:$H$134,MIN(44,Ziele!$B$5)),"")</f>
        <v>40500</v>
      </c>
    </row>
    <row r="90" customFormat="false" ht="15" hidden="true" customHeight="false" outlineLevel="0" collapsed="false">
      <c r="A90" s="6" t="n">
        <f aca="false">IF(Ziele!$B$18="Plan bereit",MIN(45,Ziele!$B$5),"")</f>
        <v>45</v>
      </c>
      <c r="B90" s="7" t="n">
        <f aca="false">IF(Ziele!$B$18="Plan bereit",INDEX('Monate A'!$H$75:$H$134,MIN(45,Ziele!$B$5)),"")</f>
        <v>41750</v>
      </c>
      <c r="C90" s="7" t="n">
        <f aca="false">IF(Ziele!$B$18="Plan bereit",INDEX('Monate B'!$H$75:$H$134,MIN(45,Ziele!$B$5)),"")</f>
        <v>40850</v>
      </c>
    </row>
    <row r="91" customFormat="false" ht="15" hidden="true" customHeight="false" outlineLevel="0" collapsed="false">
      <c r="A91" s="6" t="n">
        <f aca="false">IF(Ziele!$B$18="Plan bereit",MIN(46,Ziele!$B$5),"")</f>
        <v>46</v>
      </c>
      <c r="B91" s="7" t="n">
        <f aca="false">IF(Ziele!$B$18="Plan bereit",INDEX('Monate A'!$H$75:$H$134,MIN(46,Ziele!$B$5)),"")</f>
        <v>42100</v>
      </c>
      <c r="C91" s="7" t="n">
        <f aca="false">IF(Ziele!$B$18="Plan bereit",INDEX('Monate B'!$H$75:$H$134,MIN(46,Ziele!$B$5)),"")</f>
        <v>41200</v>
      </c>
    </row>
    <row r="92" customFormat="false" ht="15" hidden="true" customHeight="false" outlineLevel="0" collapsed="false">
      <c r="A92" s="6" t="n">
        <f aca="false">IF(Ziele!$B$18="Plan bereit",MIN(47,Ziele!$B$5),"")</f>
        <v>47</v>
      </c>
      <c r="B92" s="7" t="n">
        <f aca="false">IF(Ziele!$B$18="Plan bereit",INDEX('Monate A'!$H$75:$H$134,MIN(47,Ziele!$B$5)),"")</f>
        <v>42450</v>
      </c>
      <c r="C92" s="7" t="n">
        <f aca="false">IF(Ziele!$B$18="Plan bereit",INDEX('Monate B'!$H$75:$H$134,MIN(47,Ziele!$B$5)),"")</f>
        <v>41550</v>
      </c>
    </row>
    <row r="93" customFormat="false" ht="15" hidden="true" customHeight="false" outlineLevel="0" collapsed="false">
      <c r="A93" s="6" t="n">
        <f aca="false">IF(Ziele!$B$18="Plan bereit",MIN(48,Ziele!$B$5),"")</f>
        <v>48</v>
      </c>
      <c r="B93" s="7" t="n">
        <f aca="false">IF(Ziele!$B$18="Plan bereit",INDEX('Monate A'!$H$75:$H$134,MIN(48,Ziele!$B$5)),"")</f>
        <v>42800</v>
      </c>
      <c r="C93" s="7" t="n">
        <f aca="false">IF(Ziele!$B$18="Plan bereit",INDEX('Monate B'!$H$75:$H$134,MIN(48,Ziele!$B$5)),"")</f>
        <v>41900</v>
      </c>
    </row>
    <row r="94" customFormat="false" ht="15" hidden="true" customHeight="false" outlineLevel="0" collapsed="false">
      <c r="A94" s="6" t="n">
        <f aca="false">IF(Ziele!$B$18="Plan bereit",MIN(49,Ziele!$B$5),"")</f>
        <v>48</v>
      </c>
      <c r="B94" s="7" t="n">
        <f aca="false">IF(Ziele!$B$18="Plan bereit",INDEX('Monate A'!$H$75:$H$134,MIN(49,Ziele!$B$5)),"")</f>
        <v>42800</v>
      </c>
      <c r="C94" s="7" t="n">
        <f aca="false">IF(Ziele!$B$18="Plan bereit",INDEX('Monate B'!$H$75:$H$134,MIN(49,Ziele!$B$5)),"")</f>
        <v>41900</v>
      </c>
    </row>
    <row r="95" customFormat="false" ht="15" hidden="true" customHeight="false" outlineLevel="0" collapsed="false">
      <c r="A95" s="6" t="n">
        <f aca="false">IF(Ziele!$B$18="Plan bereit",MIN(50,Ziele!$B$5),"")</f>
        <v>48</v>
      </c>
      <c r="B95" s="7" t="n">
        <f aca="false">IF(Ziele!$B$18="Plan bereit",INDEX('Monate A'!$H$75:$H$134,MIN(50,Ziele!$B$5)),"")</f>
        <v>42800</v>
      </c>
      <c r="C95" s="7" t="n">
        <f aca="false">IF(Ziele!$B$18="Plan bereit",INDEX('Monate B'!$H$75:$H$134,MIN(50,Ziele!$B$5)),"")</f>
        <v>41900</v>
      </c>
    </row>
    <row r="96" customFormat="false" ht="15" hidden="true" customHeight="false" outlineLevel="0" collapsed="false">
      <c r="A96" s="6" t="n">
        <f aca="false">IF(Ziele!$B$18="Plan bereit",MIN(51,Ziele!$B$5),"")</f>
        <v>48</v>
      </c>
      <c r="B96" s="7" t="n">
        <f aca="false">IF(Ziele!$B$18="Plan bereit",INDEX('Monate A'!$H$75:$H$134,MIN(51,Ziele!$B$5)),"")</f>
        <v>42800</v>
      </c>
      <c r="C96" s="7" t="n">
        <f aca="false">IF(Ziele!$B$18="Plan bereit",INDEX('Monate B'!$H$75:$H$134,MIN(51,Ziele!$B$5)),"")</f>
        <v>41900</v>
      </c>
    </row>
    <row r="97" customFormat="false" ht="15" hidden="true" customHeight="false" outlineLevel="0" collapsed="false">
      <c r="A97" s="6" t="n">
        <f aca="false">IF(Ziele!$B$18="Plan bereit",MIN(52,Ziele!$B$5),"")</f>
        <v>48</v>
      </c>
      <c r="B97" s="7" t="n">
        <f aca="false">IF(Ziele!$B$18="Plan bereit",INDEX('Monate A'!$H$75:$H$134,MIN(52,Ziele!$B$5)),"")</f>
        <v>42800</v>
      </c>
      <c r="C97" s="7" t="n">
        <f aca="false">IF(Ziele!$B$18="Plan bereit",INDEX('Monate B'!$H$75:$H$134,MIN(52,Ziele!$B$5)),"")</f>
        <v>41900</v>
      </c>
    </row>
    <row r="98" customFormat="false" ht="15" hidden="true" customHeight="false" outlineLevel="0" collapsed="false">
      <c r="A98" s="6" t="n">
        <f aca="false">IF(Ziele!$B$18="Plan bereit",MIN(53,Ziele!$B$5),"")</f>
        <v>48</v>
      </c>
      <c r="B98" s="7" t="n">
        <f aca="false">IF(Ziele!$B$18="Plan bereit",INDEX('Monate A'!$H$75:$H$134,MIN(53,Ziele!$B$5)),"")</f>
        <v>42800</v>
      </c>
      <c r="C98" s="7" t="n">
        <f aca="false">IF(Ziele!$B$18="Plan bereit",INDEX('Monate B'!$H$75:$H$134,MIN(53,Ziele!$B$5)),"")</f>
        <v>41900</v>
      </c>
    </row>
    <row r="99" customFormat="false" ht="15" hidden="true" customHeight="false" outlineLevel="0" collapsed="false">
      <c r="A99" s="6" t="n">
        <f aca="false">IF(Ziele!$B$18="Plan bereit",MIN(54,Ziele!$B$5),"")</f>
        <v>48</v>
      </c>
      <c r="B99" s="7" t="n">
        <f aca="false">IF(Ziele!$B$18="Plan bereit",INDEX('Monate A'!$H$75:$H$134,MIN(54,Ziele!$B$5)),"")</f>
        <v>42800</v>
      </c>
      <c r="C99" s="7" t="n">
        <f aca="false">IF(Ziele!$B$18="Plan bereit",INDEX('Monate B'!$H$75:$H$134,MIN(54,Ziele!$B$5)),"")</f>
        <v>41900</v>
      </c>
    </row>
    <row r="100" customFormat="false" ht="15" hidden="true" customHeight="false" outlineLevel="0" collapsed="false">
      <c r="A100" s="6" t="n">
        <f aca="false">IF(Ziele!$B$18="Plan bereit",MIN(55,Ziele!$B$5),"")</f>
        <v>48</v>
      </c>
      <c r="B100" s="7" t="n">
        <f aca="false">IF(Ziele!$B$18="Plan bereit",INDEX('Monate A'!$H$75:$H$134,MIN(55,Ziele!$B$5)),"")</f>
        <v>42800</v>
      </c>
      <c r="C100" s="7" t="n">
        <f aca="false">IF(Ziele!$B$18="Plan bereit",INDEX('Monate B'!$H$75:$H$134,MIN(55,Ziele!$B$5)),"")</f>
        <v>41900</v>
      </c>
    </row>
    <row r="101" customFormat="false" ht="15" hidden="true" customHeight="false" outlineLevel="0" collapsed="false">
      <c r="A101" s="6" t="n">
        <f aca="false">IF(Ziele!$B$18="Plan bereit",MIN(56,Ziele!$B$5),"")</f>
        <v>48</v>
      </c>
      <c r="B101" s="7" t="n">
        <f aca="false">IF(Ziele!$B$18="Plan bereit",INDEX('Monate A'!$H$75:$H$134,MIN(56,Ziele!$B$5)),"")</f>
        <v>42800</v>
      </c>
      <c r="C101" s="7" t="n">
        <f aca="false">IF(Ziele!$B$18="Plan bereit",INDEX('Monate B'!$H$75:$H$134,MIN(56,Ziele!$B$5)),"")</f>
        <v>41900</v>
      </c>
    </row>
    <row r="102" customFormat="false" ht="15" hidden="true" customHeight="false" outlineLevel="0" collapsed="false">
      <c r="A102" s="6" t="n">
        <f aca="false">IF(Ziele!$B$18="Plan bereit",MIN(57,Ziele!$B$5),"")</f>
        <v>48</v>
      </c>
      <c r="B102" s="7" t="n">
        <f aca="false">IF(Ziele!$B$18="Plan bereit",INDEX('Monate A'!$H$75:$H$134,MIN(57,Ziele!$B$5)),"")</f>
        <v>42800</v>
      </c>
      <c r="C102" s="7" t="n">
        <f aca="false">IF(Ziele!$B$18="Plan bereit",INDEX('Monate B'!$H$75:$H$134,MIN(57,Ziele!$B$5)),"")</f>
        <v>41900</v>
      </c>
    </row>
    <row r="103" customFormat="false" ht="15" hidden="true" customHeight="false" outlineLevel="0" collapsed="false">
      <c r="A103" s="6" t="n">
        <f aca="false">IF(Ziele!$B$18="Plan bereit",MIN(58,Ziele!$B$5),"")</f>
        <v>48</v>
      </c>
      <c r="B103" s="7" t="n">
        <f aca="false">IF(Ziele!$B$18="Plan bereit",INDEX('Monate A'!$H$75:$H$134,MIN(58,Ziele!$B$5)),"")</f>
        <v>42800</v>
      </c>
      <c r="C103" s="7" t="n">
        <f aca="false">IF(Ziele!$B$18="Plan bereit",INDEX('Monate B'!$H$75:$H$134,MIN(58,Ziele!$B$5)),"")</f>
        <v>41900</v>
      </c>
    </row>
    <row r="104" customFormat="false" ht="15" hidden="true" customHeight="false" outlineLevel="0" collapsed="false">
      <c r="A104" s="6" t="n">
        <f aca="false">IF(Ziele!$B$18="Plan bereit",MIN(59,Ziele!$B$5),"")</f>
        <v>48</v>
      </c>
      <c r="B104" s="7" t="n">
        <f aca="false">IF(Ziele!$B$18="Plan bereit",INDEX('Monate A'!$H$75:$H$134,MIN(59,Ziele!$B$5)),"")</f>
        <v>42800</v>
      </c>
      <c r="C104" s="7" t="n">
        <f aca="false">IF(Ziele!$B$18="Plan bereit",INDEX('Monate B'!$H$75:$H$134,MIN(59,Ziele!$B$5)),"")</f>
        <v>41900</v>
      </c>
    </row>
    <row r="105" customFormat="false" ht="15" hidden="true" customHeight="false" outlineLevel="0" collapsed="false">
      <c r="A105" s="6" t="n">
        <f aca="false">IF(Ziele!$B$18="Plan bereit",MIN(60,Ziele!$B$5),"")</f>
        <v>48</v>
      </c>
      <c r="B105" s="7" t="n">
        <f aca="false">IF(Ziele!$B$18="Plan bereit",INDEX('Monate A'!$H$75:$H$134,MIN(60,Ziele!$B$5)),"")</f>
        <v>42800</v>
      </c>
      <c r="C105" s="7" t="n">
        <f aca="false">IF(Ziele!$B$18="Plan bereit",INDEX('Monate B'!$H$75:$H$134,MIN(60,Ziele!$B$5)),"")</f>
        <v>41900</v>
      </c>
    </row>
  </sheetData>
  <mergeCells count="4">
    <mergeCell ref="A1:I2"/>
    <mergeCell ref="A4:I4"/>
    <mergeCell ref="B6:I6"/>
    <mergeCell ref="A17:I17"/>
  </mergeCells>
  <conditionalFormatting sqref="E10:E15">
    <cfRule type="expression" priority="2" aboveAverage="0" equalAverage="0" bottom="0" percent="0" rank="0" text="" dxfId="0">
      <formula>AND(ISNUMBER(E10),E10&gt;0)</formula>
    </cfRule>
  </conditionalFormatting>
  <conditionalFormatting sqref="G10:G15">
    <cfRule type="expression" priority="3" aboveAverage="0" equalAverage="0" bottom="0" percent="0" rank="0" text="" dxfId="0">
      <formula>AND(ISNUMBER(G10),G10&gt;0)</formula>
    </cfRule>
  </conditionalFormatting>
  <conditionalFormatting sqref="D19">
    <cfRule type="expression" priority="4" aboveAverage="0" equalAverage="0" bottom="0" percent="0" rank="0" text="" dxfId="0">
      <formula>AND(ISNUMBER(D19),D19&gt;0)</formula>
    </cfRule>
  </conditionalFormatting>
  <conditionalFormatting sqref="F19">
    <cfRule type="expression" priority="5" aboveAverage="0" equalAverage="0" bottom="0" percent="0" rank="0" text="" dxfId="0">
      <formula>AND(ISNUMBER(F19),F19&gt;0)</formula>
    </cfRule>
  </conditionalFormatting>
  <printOptions headings="false" gridLines="false" gridLinesSet="true" horizontalCentered="false" verticalCentered="false"/>
  <pageMargins left="0.3" right="0.3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&amp;Linvesthoch3.de · Sparziel-Fahrplan 0.2&amp;R&amp;P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9"/>
    <col collapsed="false" customWidth="true" hidden="false" outlineLevel="0" max="4" min="4" style="0" width="17"/>
    <col collapsed="false" customWidth="true" hidden="false" outlineLevel="0" max="5" min="5" style="0" width="19"/>
    <col collapsed="false" customWidth="true" hidden="false" outlineLevel="0" max="6" min="6" style="0" width="30"/>
  </cols>
  <sheetData>
    <row r="1" customFormat="false" ht="24" hidden="false" customHeight="true" outlineLevel="0" collapsed="false">
      <c r="A1" s="1" t="s">
        <v>33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</row>
    <row r="4" customFormat="false" ht="15" hidden="false" customHeight="false" outlineLevel="0" collapsed="false">
      <c r="A4" s="4" t="s">
        <v>34</v>
      </c>
      <c r="B4" s="9" t="n">
        <v>26000</v>
      </c>
    </row>
    <row r="5" customFormat="false" ht="15" hidden="false" customHeight="false" outlineLevel="0" collapsed="false">
      <c r="A5" s="4" t="s">
        <v>35</v>
      </c>
      <c r="B5" s="10" t="n">
        <v>48</v>
      </c>
    </row>
    <row r="6" customFormat="false" ht="15" hidden="false" customHeight="false" outlineLevel="0" collapsed="false">
      <c r="A6" s="4" t="s">
        <v>36</v>
      </c>
      <c r="B6" s="11" t="n">
        <v>46327</v>
      </c>
    </row>
    <row r="8" customFormat="false" ht="28.5" hidden="false" customHeight="true" outlineLevel="0" collapsed="false">
      <c r="A8" s="2" t="s">
        <v>37</v>
      </c>
      <c r="B8" s="2"/>
      <c r="C8" s="2"/>
      <c r="D8" s="2"/>
      <c r="E8" s="2"/>
      <c r="F8" s="2"/>
    </row>
    <row r="9" customFormat="false" ht="33.75" hidden="false" customHeight="true" outlineLevel="0" collapsed="false">
      <c r="A9" s="5" t="s">
        <v>38</v>
      </c>
      <c r="B9" s="5" t="s">
        <v>39</v>
      </c>
      <c r="C9" s="5" t="s">
        <v>20</v>
      </c>
      <c r="D9" s="5" t="s">
        <v>40</v>
      </c>
      <c r="E9" s="5" t="s">
        <v>41</v>
      </c>
      <c r="F9" s="5" t="s">
        <v>42</v>
      </c>
    </row>
    <row r="10" customFormat="false" ht="30" hidden="false" customHeight="true" outlineLevel="0" collapsed="false">
      <c r="A10" s="12" t="s">
        <v>43</v>
      </c>
      <c r="B10" s="9" t="n">
        <v>8000</v>
      </c>
      <c r="C10" s="9" t="n">
        <v>10000</v>
      </c>
      <c r="D10" s="12" t="n">
        <v>10</v>
      </c>
      <c r="E10" s="9" t="n">
        <v>200</v>
      </c>
      <c r="F10" s="13" t="str">
        <f aca="false">IFERROR(IF(AND(COUNT(B10:D10)=3,MIN(B10:C10)&gt;=0,MAX(B10:C10)&lt;=1000000000,B10&lt;=C10,B10=ROUND(B10,2),C10=ROUND(C10,2),D10=INT(D10),D10&gt;=1,D10&lt;=$B$5,OR(E10="",AND(ISNUMBER(E10),E10&gt;=0,E10&lt;=1000000000,E10=ROUND(E10,2)))),IF(C10=0,"Nicht aktiv",IF(AND(ISTEXT(A10),LEN(TRIM(A10))&gt;0),"Bereit","Name fehlt")),"Eingabe prüfen"),"Eingabe prüfen")</f>
        <v>Bereit</v>
      </c>
    </row>
    <row r="11" customFormat="false" ht="30" hidden="false" customHeight="true" outlineLevel="0" collapsed="false">
      <c r="A11" s="12" t="s">
        <v>44</v>
      </c>
      <c r="B11" s="9" t="n">
        <v>18000</v>
      </c>
      <c r="C11" s="9" t="n">
        <v>40000</v>
      </c>
      <c r="D11" s="12" t="n">
        <v>48</v>
      </c>
      <c r="E11" s="9"/>
      <c r="F11" s="13" t="str">
        <f aca="false">IFERROR(IF(AND(COUNT(B11:D11)=3,MIN(B11:C11)&gt;=0,MAX(B11:C11)&lt;=1000000000,B11&lt;=C11,B11=ROUND(B11,2),C11=ROUND(C11,2),D11=INT(D11),D11&gt;=1,D11&lt;=$B$5,OR(E11="",AND(ISNUMBER(E11),E11&gt;=0,E11&lt;=1000000000,E11=ROUND(E11,2)))),IF(C11=0,"Nicht aktiv",IF(AND(ISTEXT(A11),LEN(TRIM(A11))&gt;0),"Bereit","Name fehlt")),"Eingabe prüfen"),"Eingabe prüfen")</f>
        <v>Bereit</v>
      </c>
    </row>
    <row r="12" customFormat="false" ht="30" hidden="false" customHeight="true" outlineLevel="0" collapsed="false">
      <c r="A12" s="12"/>
      <c r="B12" s="9" t="n">
        <v>0</v>
      </c>
      <c r="C12" s="9" t="n">
        <v>0</v>
      </c>
      <c r="D12" s="12" t="n">
        <v>1</v>
      </c>
      <c r="E12" s="9"/>
      <c r="F12" s="13" t="str">
        <f aca="false">IFERROR(IF(AND(COUNT(B12:D12)=3,MIN(B12:C12)&gt;=0,MAX(B12:C12)&lt;=1000000000,B12&lt;=C12,B12=ROUND(B12,2),C12=ROUND(C12,2),D12=INT(D12),D12&gt;=1,D12&lt;=$B$5,OR(E12="",AND(ISNUMBER(E12),E12&gt;=0,E12&lt;=1000000000,E12=ROUND(E12,2)))),IF(C12=0,"Nicht aktiv",IF(AND(ISTEXT(A12),LEN(TRIM(A12))&gt;0),"Bereit","Name fehlt")),"Eingabe prüfen"),"Eingabe prüfen")</f>
        <v>Nicht aktiv</v>
      </c>
    </row>
    <row r="13" customFormat="false" ht="30" hidden="false" customHeight="true" outlineLevel="0" collapsed="false">
      <c r="A13" s="12"/>
      <c r="B13" s="9" t="n">
        <v>0</v>
      </c>
      <c r="C13" s="9" t="n">
        <v>0</v>
      </c>
      <c r="D13" s="12" t="n">
        <v>1</v>
      </c>
      <c r="E13" s="9"/>
      <c r="F13" s="13" t="str">
        <f aca="false">IFERROR(IF(AND(COUNT(B13:D13)=3,MIN(B13:C13)&gt;=0,MAX(B13:C13)&lt;=1000000000,B13&lt;=C13,B13=ROUND(B13,2),C13=ROUND(C13,2),D13=INT(D13),D13&gt;=1,D13&lt;=$B$5,OR(E13="",AND(ISNUMBER(E13),E13&gt;=0,E13&lt;=1000000000,E13=ROUND(E13,2)))),IF(C13=0,"Nicht aktiv",IF(AND(ISTEXT(A13),LEN(TRIM(A13))&gt;0),"Bereit","Name fehlt")),"Eingabe prüfen"),"Eingabe prüfen")</f>
        <v>Nicht aktiv</v>
      </c>
    </row>
    <row r="14" customFormat="false" ht="30" hidden="false" customHeight="true" outlineLevel="0" collapsed="false">
      <c r="A14" s="12"/>
      <c r="B14" s="9" t="n">
        <v>0</v>
      </c>
      <c r="C14" s="9" t="n">
        <v>0</v>
      </c>
      <c r="D14" s="12" t="n">
        <v>1</v>
      </c>
      <c r="E14" s="9"/>
      <c r="F14" s="13" t="str">
        <f aca="false">IFERROR(IF(AND(COUNT(B14:D14)=3,MIN(B14:C14)&gt;=0,MAX(B14:C14)&lt;=1000000000,B14&lt;=C14,B14=ROUND(B14,2),C14=ROUND(C14,2),D14=INT(D14),D14&gt;=1,D14&lt;=$B$5,OR(E14="",AND(ISNUMBER(E14),E14&gt;=0,E14&lt;=1000000000,E14=ROUND(E14,2)))),IF(C14=0,"Nicht aktiv",IF(AND(ISTEXT(A14),LEN(TRIM(A14))&gt;0),"Bereit","Name fehlt")),"Eingabe prüfen"),"Eingabe prüfen")</f>
        <v>Nicht aktiv</v>
      </c>
    </row>
    <row r="15" customFormat="false" ht="30" hidden="false" customHeight="true" outlineLevel="0" collapsed="false">
      <c r="A15" s="12"/>
      <c r="B15" s="9" t="n">
        <v>0</v>
      </c>
      <c r="C15" s="9" t="n">
        <v>0</v>
      </c>
      <c r="D15" s="12" t="n">
        <v>1</v>
      </c>
      <c r="E15" s="9"/>
      <c r="F15" s="13" t="str">
        <f aca="false">IFERROR(IF(AND(COUNT(B15:D15)=3,MIN(B15:C15)&gt;=0,MAX(B15:C15)&lt;=1000000000,B15&lt;=C15,B15=ROUND(B15,2),C15=ROUND(C15,2),D15=INT(D15),D15&gt;=1,D15&lt;=$B$5,OR(E15="",AND(ISNUMBER(E15),E15&gt;=0,E15&lt;=1000000000,E15=ROUND(E15,2)))),IF(C15=0,"Nicht aktiv",IF(AND(ISTEXT(A15),LEN(TRIM(A15))&gt;0),"Bereit","Name fehlt")),"Eingabe prüfen"),"Eingabe prüfen")</f>
        <v>Nicht aktiv</v>
      </c>
    </row>
    <row r="17" customFormat="false" ht="24.75" hidden="false" customHeight="true" outlineLevel="0" collapsed="false">
      <c r="A17" s="2" t="s">
        <v>45</v>
      </c>
      <c r="B17" s="2"/>
      <c r="C17" s="2"/>
      <c r="D17" s="2"/>
      <c r="E17" s="2"/>
      <c r="F17" s="2"/>
    </row>
    <row r="18" customFormat="false" ht="15" hidden="false" customHeight="false" outlineLevel="0" collapsed="false">
      <c r="A18" s="4" t="s">
        <v>46</v>
      </c>
      <c r="B18" s="2" t="str">
        <f aca="false">IFERROR(IF(AND(COUNT(B4:B5)=2,B4&gt;=0,B4&lt;=1000000000,B4=ROUND(B4,2),B5=INT(B5),B5&gt;=1,B5&lt;=60,ISNUMBER(B6),B6=DATE(YEAR(B6),MONTH(B6),1),YEAR(B6)&gt;=2000,YEAR(B6)&lt;=2100,SUM(B10:B15)&lt;=B4,COUNTIF(F10:F15,"Bereit")+COUNTIF(F10:F15,"Nicht aktiv")=6,COUNTIF(Budgets!G10:G69,"Prüfen")=0),"Plan bereit","Eingaben prüfen"),"Eingaben prüfen")</f>
        <v>Plan bereit</v>
      </c>
      <c r="C18" s="2"/>
      <c r="D18" s="2"/>
      <c r="E18" s="2"/>
      <c r="F18" s="2"/>
    </row>
    <row r="19" customFormat="false" ht="15" hidden="false" customHeight="false" outlineLevel="0" collapsed="false">
      <c r="B19" s="2"/>
      <c r="C19" s="2"/>
      <c r="D19" s="2"/>
      <c r="E19" s="2"/>
      <c r="F19" s="2"/>
    </row>
    <row r="21" customFormat="false" ht="15" hidden="false" customHeight="false" outlineLevel="0" collapsed="false">
      <c r="A21" s="4" t="s">
        <v>47</v>
      </c>
      <c r="B21" s="7" t="n">
        <f aca="false">IF(B18="Plan bereit",ROUND(B4-SUM(B10:B15),2),"")</f>
        <v>0</v>
      </c>
    </row>
    <row r="23" customFormat="false" ht="42" hidden="false" customHeight="true" outlineLevel="0" collapsed="false">
      <c r="A23" s="2" t="s">
        <v>48</v>
      </c>
      <c r="B23" s="2"/>
      <c r="C23" s="2"/>
      <c r="D23" s="2"/>
      <c r="E23" s="2"/>
      <c r="F23" s="2"/>
    </row>
    <row r="26" customFormat="false" ht="42" hidden="false" customHeight="true" outlineLevel="0" collapsed="false">
      <c r="A26" s="2" t="s">
        <v>49</v>
      </c>
      <c r="B26" s="2"/>
      <c r="C26" s="2"/>
      <c r="D26" s="2"/>
      <c r="E26" s="2"/>
      <c r="F26" s="2"/>
    </row>
  </sheetData>
  <mergeCells count="6">
    <mergeCell ref="A1:F2"/>
    <mergeCell ref="A8:F8"/>
    <mergeCell ref="A17:F17"/>
    <mergeCell ref="B18:F19"/>
    <mergeCell ref="A23:F23"/>
    <mergeCell ref="A26:F26"/>
  </mergeCells>
  <conditionalFormatting sqref="F10:F15">
    <cfRule type="expression" priority="2" aboveAverage="0" equalAverage="0" bottom="0" percent="0" rank="0" text="" dxfId="0">
      <formula>AND(F10&lt;&gt;"Bereit",F10&lt;&gt;"Nicht aktiv")</formula>
    </cfRule>
  </conditionalFormatting>
  <dataValidations count="3">
    <dataValidation allowBlank="false" error="Verwende einen Betrag ab 0 mit höchstens zwei Nachkommastellen; Monate sind ganze Zahlen." errorStyle="stop" errorTitle="Eingabe prüfen" operator="between" showDropDown="false" showErrorMessage="true" showInputMessage="false" sqref="B4 B10:C15" type="decimal">
      <formula1>0</formula1>
      <formula2>1000000000</formula2>
    </dataValidation>
    <dataValidation allowBlank="false" error="Verwende einen Betrag ab 0 mit höchstens zwei Nachkommastellen; Monate sind ganze Zahlen." errorStyle="stop" errorTitle="Eingabe prüfen" operator="between" showDropDown="false" showErrorMessage="true" showInputMessage="false" sqref="B5 D10:D15" type="whole">
      <formula1>1</formula1>
      <formula2>60</formula2>
    </dataValidation>
    <dataValidation allowBlank="true" error="Verwende einen Betrag ab 0 mit höchstens zwei Nachkommastellen; Monate sind ganze Zahlen." errorStyle="stop" errorTitle="Eingabe prüfen" operator="between" showDropDown="false" showErrorMessage="true" showInputMessage="false" sqref="E10:E15" type="decimal">
      <formula1>0</formula1>
      <formula2>1000000000</formula2>
    </dataValidation>
  </dataValidations>
  <printOptions headings="false" gridLines="false" gridLinesSet="true" horizontalCentered="false" verticalCentered="false"/>
  <pageMargins left="0.3" right="0.3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&amp;Linvesthoch3.de · Sparziel-Fahrplan 0.2&amp;R&amp;P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9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9"/>
    <col collapsed="false" customWidth="true" hidden="false" outlineLevel="0" max="5" min="5" style="0" width="18"/>
    <col collapsed="false" customWidth="true" hidden="false" outlineLevel="0" max="6" min="6" style="0" width="19"/>
    <col collapsed="false" customWidth="true" hidden="false" outlineLevel="0" max="7" min="7" style="0" width="20"/>
  </cols>
  <sheetData>
    <row r="1" customFormat="false" ht="24" hidden="false" customHeight="true" outlineLevel="0" collapsed="false">
      <c r="A1" s="1" t="s">
        <v>50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  <c r="G2" s="1"/>
    </row>
    <row r="4" customFormat="false" ht="39.75" hidden="false" customHeight="true" outlineLevel="0" collapsed="false">
      <c r="A4" s="2" t="s">
        <v>51</v>
      </c>
      <c r="B4" s="2"/>
      <c r="C4" s="2"/>
      <c r="D4" s="2"/>
      <c r="E4" s="2"/>
      <c r="F4" s="2"/>
      <c r="G4" s="2"/>
    </row>
    <row r="6" customFormat="false" ht="37.5" hidden="false" customHeight="true" outlineLevel="0" collapsed="false">
      <c r="A6" s="2" t="s">
        <v>52</v>
      </c>
      <c r="B6" s="2"/>
      <c r="C6" s="2"/>
      <c r="D6" s="2"/>
      <c r="E6" s="2"/>
      <c r="F6" s="2"/>
      <c r="G6" s="2"/>
    </row>
    <row r="9" customFormat="false" ht="33.75" hidden="false" customHeight="true" outlineLevel="0" collapsed="false">
      <c r="A9" s="5" t="s">
        <v>30</v>
      </c>
      <c r="B9" s="5" t="s">
        <v>53</v>
      </c>
      <c r="C9" s="5" t="s">
        <v>31</v>
      </c>
      <c r="D9" s="5" t="s">
        <v>54</v>
      </c>
      <c r="E9" s="5" t="s">
        <v>32</v>
      </c>
      <c r="F9" s="5" t="s">
        <v>55</v>
      </c>
      <c r="G9" s="5" t="s">
        <v>42</v>
      </c>
    </row>
    <row r="10" customFormat="false" ht="21.75" hidden="false" customHeight="true" outlineLevel="0" collapsed="false">
      <c r="A10" s="4" t="n">
        <v>1</v>
      </c>
      <c r="B10" s="14" t="n">
        <f aca="false">DATE(YEAR(Ziele!$B$6),MONTH(Ziele!$B$6)+0,1)</f>
        <v>46327</v>
      </c>
      <c r="C10" s="9" t="n">
        <v>500</v>
      </c>
      <c r="D10" s="9" t="n">
        <v>150</v>
      </c>
      <c r="E10" s="9" t="n">
        <v>500</v>
      </c>
      <c r="F10" s="9" t="n">
        <v>150</v>
      </c>
      <c r="G10" s="13" t="str">
        <f aca="false">IFERROR(IF(AND(COUNT(C10:F10)=4,MIN(C10:F10)&gt;=0,MAX(C10:F10)&lt;=1000000000,C10=ROUND(C10,2),D10=ROUND(D10,2),E10=ROUND(E10,2),F10=ROUND(F10,2)),"Bereit","Prüfen"),"Prüfen")</f>
        <v>Bereit</v>
      </c>
    </row>
    <row r="11" customFormat="false" ht="21.75" hidden="false" customHeight="true" outlineLevel="0" collapsed="false">
      <c r="A11" s="4" t="n">
        <v>2</v>
      </c>
      <c r="B11" s="14" t="n">
        <f aca="false">DATE(YEAR(Ziele!$B$6),MONTH(Ziele!$B$6)+1,1)</f>
        <v>46357</v>
      </c>
      <c r="C11" s="9" t="n">
        <v>500</v>
      </c>
      <c r="D11" s="9" t="n">
        <v>150</v>
      </c>
      <c r="E11" s="9" t="n">
        <v>500</v>
      </c>
      <c r="F11" s="9" t="n">
        <v>150</v>
      </c>
      <c r="G11" s="13" t="str">
        <f aca="false">IFERROR(IF(AND(COUNT(C11:F11)=4,MIN(C11:F11)&gt;=0,MAX(C11:F11)&lt;=1000000000,C11=ROUND(C11,2),D11=ROUND(D11,2),E11=ROUND(E11,2),F11=ROUND(F11,2)),"Bereit","Prüfen"),"Prüfen")</f>
        <v>Bereit</v>
      </c>
    </row>
    <row r="12" customFormat="false" ht="21.75" hidden="false" customHeight="true" outlineLevel="0" collapsed="false">
      <c r="A12" s="4" t="n">
        <v>3</v>
      </c>
      <c r="B12" s="14" t="n">
        <f aca="false">DATE(YEAR(Ziele!$B$6),MONTH(Ziele!$B$6)+2,1)</f>
        <v>46388</v>
      </c>
      <c r="C12" s="9" t="n">
        <v>500</v>
      </c>
      <c r="D12" s="9" t="n">
        <v>150</v>
      </c>
      <c r="E12" s="9" t="n">
        <v>500</v>
      </c>
      <c r="F12" s="9" t="n">
        <v>150</v>
      </c>
      <c r="G12" s="13" t="str">
        <f aca="false">IFERROR(IF(AND(COUNT(C12:F12)=4,MIN(C12:F12)&gt;=0,MAX(C12:F12)&lt;=1000000000,C12=ROUND(C12,2),D12=ROUND(D12,2),E12=ROUND(E12,2),F12=ROUND(F12,2)),"Bereit","Prüfen"),"Prüfen")</f>
        <v>Bereit</v>
      </c>
    </row>
    <row r="13" customFormat="false" ht="21.75" hidden="false" customHeight="true" outlineLevel="0" collapsed="false">
      <c r="A13" s="4" t="n">
        <v>4</v>
      </c>
      <c r="B13" s="14" t="n">
        <f aca="false">DATE(YEAR(Ziele!$B$6),MONTH(Ziele!$B$6)+3,1)</f>
        <v>46419</v>
      </c>
      <c r="C13" s="9" t="n">
        <v>500</v>
      </c>
      <c r="D13" s="9" t="n">
        <v>150</v>
      </c>
      <c r="E13" s="9" t="n">
        <v>500</v>
      </c>
      <c r="F13" s="9" t="n">
        <v>150</v>
      </c>
      <c r="G13" s="13" t="str">
        <f aca="false">IFERROR(IF(AND(COUNT(C13:F13)=4,MIN(C13:F13)&gt;=0,MAX(C13:F13)&lt;=1000000000,C13=ROUND(C13,2),D13=ROUND(D13,2),E13=ROUND(E13,2),F13=ROUND(F13,2)),"Bereit","Prüfen"),"Prüfen")</f>
        <v>Bereit</v>
      </c>
    </row>
    <row r="14" customFormat="false" ht="21.75" hidden="false" customHeight="true" outlineLevel="0" collapsed="false">
      <c r="A14" s="4" t="n">
        <v>5</v>
      </c>
      <c r="B14" s="14" t="n">
        <f aca="false">DATE(YEAR(Ziele!$B$6),MONTH(Ziele!$B$6)+4,1)</f>
        <v>46447</v>
      </c>
      <c r="C14" s="9" t="n">
        <v>500</v>
      </c>
      <c r="D14" s="9" t="n">
        <v>150</v>
      </c>
      <c r="E14" s="9" t="n">
        <v>500</v>
      </c>
      <c r="F14" s="9" t="n">
        <v>150</v>
      </c>
      <c r="G14" s="13" t="str">
        <f aca="false">IFERROR(IF(AND(COUNT(C14:F14)=4,MIN(C14:F14)&gt;=0,MAX(C14:F14)&lt;=1000000000,C14=ROUND(C14,2),D14=ROUND(D14,2),E14=ROUND(E14,2),F14=ROUND(F14,2)),"Bereit","Prüfen"),"Prüfen")</f>
        <v>Bereit</v>
      </c>
    </row>
    <row r="15" customFormat="false" ht="21.75" hidden="false" customHeight="true" outlineLevel="0" collapsed="false">
      <c r="A15" s="4" t="n">
        <v>6</v>
      </c>
      <c r="B15" s="14" t="n">
        <f aca="false">DATE(YEAR(Ziele!$B$6),MONTH(Ziele!$B$6)+5,1)</f>
        <v>46478</v>
      </c>
      <c r="C15" s="9" t="n">
        <v>500</v>
      </c>
      <c r="D15" s="9" t="n">
        <v>150</v>
      </c>
      <c r="E15" s="9" t="n">
        <v>500</v>
      </c>
      <c r="F15" s="9" t="n">
        <v>150</v>
      </c>
      <c r="G15" s="13" t="str">
        <f aca="false">IFERROR(IF(AND(COUNT(C15:F15)=4,MIN(C15:F15)&gt;=0,MAX(C15:F15)&lt;=1000000000,C15=ROUND(C15,2),D15=ROUND(D15,2),E15=ROUND(E15,2),F15=ROUND(F15,2)),"Bereit","Prüfen"),"Prüfen")</f>
        <v>Bereit</v>
      </c>
    </row>
    <row r="16" customFormat="false" ht="21.75" hidden="false" customHeight="true" outlineLevel="0" collapsed="false">
      <c r="A16" s="4" t="n">
        <v>7</v>
      </c>
      <c r="B16" s="14" t="n">
        <f aca="false">DATE(YEAR(Ziele!$B$6),MONTH(Ziele!$B$6)+6,1)</f>
        <v>46508</v>
      </c>
      <c r="C16" s="9" t="n">
        <v>500</v>
      </c>
      <c r="D16" s="9" t="n">
        <v>150</v>
      </c>
      <c r="E16" s="9" t="n">
        <v>500</v>
      </c>
      <c r="F16" s="9" t="n">
        <v>150</v>
      </c>
      <c r="G16" s="13" t="str">
        <f aca="false">IFERROR(IF(AND(COUNT(C16:F16)=4,MIN(C16:F16)&gt;=0,MAX(C16:F16)&lt;=1000000000,C16=ROUND(C16,2),D16=ROUND(D16,2),E16=ROUND(E16,2),F16=ROUND(F16,2)),"Bereit","Prüfen"),"Prüfen")</f>
        <v>Bereit</v>
      </c>
    </row>
    <row r="17" customFormat="false" ht="21.75" hidden="false" customHeight="true" outlineLevel="0" collapsed="false">
      <c r="A17" s="4" t="n">
        <v>8</v>
      </c>
      <c r="B17" s="14" t="n">
        <f aca="false">DATE(YEAR(Ziele!$B$6),MONTH(Ziele!$B$6)+7,1)</f>
        <v>46539</v>
      </c>
      <c r="C17" s="9" t="n">
        <v>500</v>
      </c>
      <c r="D17" s="9" t="n">
        <v>150</v>
      </c>
      <c r="E17" s="9" t="n">
        <v>500</v>
      </c>
      <c r="F17" s="9" t="n">
        <v>150</v>
      </c>
      <c r="G17" s="13" t="str">
        <f aca="false">IFERROR(IF(AND(COUNT(C17:F17)=4,MIN(C17:F17)&gt;=0,MAX(C17:F17)&lt;=1000000000,C17=ROUND(C17,2),D17=ROUND(D17,2),E17=ROUND(E17,2),F17=ROUND(F17,2)),"Bereit","Prüfen"),"Prüfen")</f>
        <v>Bereit</v>
      </c>
    </row>
    <row r="18" customFormat="false" ht="21.75" hidden="false" customHeight="true" outlineLevel="0" collapsed="false">
      <c r="A18" s="4" t="n">
        <v>9</v>
      </c>
      <c r="B18" s="14" t="n">
        <f aca="false">DATE(YEAR(Ziele!$B$6),MONTH(Ziele!$B$6)+8,1)</f>
        <v>46569</v>
      </c>
      <c r="C18" s="9" t="n">
        <v>500</v>
      </c>
      <c r="D18" s="9" t="n">
        <v>150</v>
      </c>
      <c r="E18" s="9" t="n">
        <v>500</v>
      </c>
      <c r="F18" s="9" t="n">
        <v>150</v>
      </c>
      <c r="G18" s="13" t="str">
        <f aca="false">IFERROR(IF(AND(COUNT(C18:F18)=4,MIN(C18:F18)&gt;=0,MAX(C18:F18)&lt;=1000000000,C18=ROUND(C18,2),D18=ROUND(D18,2),E18=ROUND(E18,2),F18=ROUND(F18,2)),"Bereit","Prüfen"),"Prüfen")</f>
        <v>Bereit</v>
      </c>
    </row>
    <row r="19" customFormat="false" ht="21.75" hidden="false" customHeight="true" outlineLevel="0" collapsed="false">
      <c r="A19" s="4" t="n">
        <v>10</v>
      </c>
      <c r="B19" s="14" t="n">
        <f aca="false">DATE(YEAR(Ziele!$B$6),MONTH(Ziele!$B$6)+9,1)</f>
        <v>46600</v>
      </c>
      <c r="C19" s="9" t="n">
        <v>500</v>
      </c>
      <c r="D19" s="9" t="n">
        <v>150</v>
      </c>
      <c r="E19" s="9" t="n">
        <v>500</v>
      </c>
      <c r="F19" s="9" t="n">
        <v>150</v>
      </c>
      <c r="G19" s="13" t="str">
        <f aca="false">IFERROR(IF(AND(COUNT(C19:F19)=4,MIN(C19:F19)&gt;=0,MAX(C19:F19)&lt;=1000000000,C19=ROUND(C19,2),D19=ROUND(D19,2),E19=ROUND(E19,2),F19=ROUND(F19,2)),"Bereit","Prüfen"),"Prüfen")</f>
        <v>Bereit</v>
      </c>
    </row>
    <row r="20" customFormat="false" ht="21.75" hidden="false" customHeight="true" outlineLevel="0" collapsed="false">
      <c r="A20" s="4" t="n">
        <v>11</v>
      </c>
      <c r="B20" s="14" t="n">
        <f aca="false">DATE(YEAR(Ziele!$B$6),MONTH(Ziele!$B$6)+10,1)</f>
        <v>46631</v>
      </c>
      <c r="C20" s="9" t="n">
        <v>500</v>
      </c>
      <c r="D20" s="9" t="n">
        <v>150</v>
      </c>
      <c r="E20" s="9" t="n">
        <v>500</v>
      </c>
      <c r="F20" s="9" t="n">
        <v>150</v>
      </c>
      <c r="G20" s="13" t="str">
        <f aca="false">IFERROR(IF(AND(COUNT(C20:F20)=4,MIN(C20:F20)&gt;=0,MAX(C20:F20)&lt;=1000000000,C20=ROUND(C20,2),D20=ROUND(D20,2),E20=ROUND(E20,2),F20=ROUND(F20,2)),"Bereit","Prüfen"),"Prüfen")</f>
        <v>Bereit</v>
      </c>
    </row>
    <row r="21" customFormat="false" ht="21.75" hidden="false" customHeight="true" outlineLevel="0" collapsed="false">
      <c r="A21" s="4" t="n">
        <v>12</v>
      </c>
      <c r="B21" s="14" t="n">
        <f aca="false">DATE(YEAR(Ziele!$B$6),MONTH(Ziele!$B$6)+11,1)</f>
        <v>46661</v>
      </c>
      <c r="C21" s="9" t="n">
        <v>500</v>
      </c>
      <c r="D21" s="9" t="n">
        <v>150</v>
      </c>
      <c r="E21" s="9" t="n">
        <v>500</v>
      </c>
      <c r="F21" s="9" t="n">
        <v>150</v>
      </c>
      <c r="G21" s="13" t="str">
        <f aca="false">IFERROR(IF(AND(COUNT(C21:F21)=4,MIN(C21:F21)&gt;=0,MAX(C21:F21)&lt;=1000000000,C21=ROUND(C21,2),D21=ROUND(D21,2),E21=ROUND(E21,2),F21=ROUND(F21,2)),"Bereit","Prüfen"),"Prüfen")</f>
        <v>Bereit</v>
      </c>
    </row>
    <row r="22" customFormat="false" ht="21.75" hidden="false" customHeight="true" outlineLevel="0" collapsed="false">
      <c r="A22" s="4" t="n">
        <v>13</v>
      </c>
      <c r="B22" s="14" t="n">
        <f aca="false">DATE(YEAR(Ziele!$B$6),MONTH(Ziele!$B$6)+12,1)</f>
        <v>46692</v>
      </c>
      <c r="C22" s="9" t="n">
        <v>500</v>
      </c>
      <c r="D22" s="9" t="n">
        <v>150</v>
      </c>
      <c r="E22" s="9" t="n">
        <v>350</v>
      </c>
      <c r="F22" s="9" t="n">
        <v>150</v>
      </c>
      <c r="G22" s="13" t="str">
        <f aca="false">IFERROR(IF(AND(COUNT(C22:F22)=4,MIN(C22:F22)&gt;=0,MAX(C22:F22)&lt;=1000000000,C22=ROUND(C22,2),D22=ROUND(D22,2),E22=ROUND(E22,2),F22=ROUND(F22,2)),"Bereit","Prüfen"),"Prüfen")</f>
        <v>Bereit</v>
      </c>
    </row>
    <row r="23" customFormat="false" ht="21.75" hidden="false" customHeight="true" outlineLevel="0" collapsed="false">
      <c r="A23" s="4" t="n">
        <v>14</v>
      </c>
      <c r="B23" s="14" t="n">
        <f aca="false">DATE(YEAR(Ziele!$B$6),MONTH(Ziele!$B$6)+13,1)</f>
        <v>46722</v>
      </c>
      <c r="C23" s="9" t="n">
        <v>500</v>
      </c>
      <c r="D23" s="9" t="n">
        <v>150</v>
      </c>
      <c r="E23" s="9" t="n">
        <v>350</v>
      </c>
      <c r="F23" s="9" t="n">
        <v>150</v>
      </c>
      <c r="G23" s="13" t="str">
        <f aca="false">IFERROR(IF(AND(COUNT(C23:F23)=4,MIN(C23:F23)&gt;=0,MAX(C23:F23)&lt;=1000000000,C23=ROUND(C23,2),D23=ROUND(D23,2),E23=ROUND(E23,2),F23=ROUND(F23,2)),"Bereit","Prüfen"),"Prüfen")</f>
        <v>Bereit</v>
      </c>
    </row>
    <row r="24" customFormat="false" ht="21.75" hidden="false" customHeight="true" outlineLevel="0" collapsed="false">
      <c r="A24" s="4" t="n">
        <v>15</v>
      </c>
      <c r="B24" s="14" t="n">
        <f aca="false">DATE(YEAR(Ziele!$B$6),MONTH(Ziele!$B$6)+14,1)</f>
        <v>46753</v>
      </c>
      <c r="C24" s="9" t="n">
        <v>500</v>
      </c>
      <c r="D24" s="9" t="n">
        <v>150</v>
      </c>
      <c r="E24" s="9" t="n">
        <v>350</v>
      </c>
      <c r="F24" s="9" t="n">
        <v>150</v>
      </c>
      <c r="G24" s="13" t="str">
        <f aca="false">IFERROR(IF(AND(COUNT(C24:F24)=4,MIN(C24:F24)&gt;=0,MAX(C24:F24)&lt;=1000000000,C24=ROUND(C24,2),D24=ROUND(D24,2),E24=ROUND(E24,2),F24=ROUND(F24,2)),"Bereit","Prüfen"),"Prüfen")</f>
        <v>Bereit</v>
      </c>
    </row>
    <row r="25" customFormat="false" ht="21.75" hidden="false" customHeight="true" outlineLevel="0" collapsed="false">
      <c r="A25" s="4" t="n">
        <v>16</v>
      </c>
      <c r="B25" s="14" t="n">
        <f aca="false">DATE(YEAR(Ziele!$B$6),MONTH(Ziele!$B$6)+15,1)</f>
        <v>46784</v>
      </c>
      <c r="C25" s="9" t="n">
        <v>500</v>
      </c>
      <c r="D25" s="9" t="n">
        <v>150</v>
      </c>
      <c r="E25" s="9" t="n">
        <v>350</v>
      </c>
      <c r="F25" s="9" t="n">
        <v>150</v>
      </c>
      <c r="G25" s="13" t="str">
        <f aca="false">IFERROR(IF(AND(COUNT(C25:F25)=4,MIN(C25:F25)&gt;=0,MAX(C25:F25)&lt;=1000000000,C25=ROUND(C25,2),D25=ROUND(D25,2),E25=ROUND(E25,2),F25=ROUND(F25,2)),"Bereit","Prüfen"),"Prüfen")</f>
        <v>Bereit</v>
      </c>
    </row>
    <row r="26" customFormat="false" ht="21.75" hidden="false" customHeight="true" outlineLevel="0" collapsed="false">
      <c r="A26" s="4" t="n">
        <v>17</v>
      </c>
      <c r="B26" s="14" t="n">
        <f aca="false">DATE(YEAR(Ziele!$B$6),MONTH(Ziele!$B$6)+16,1)</f>
        <v>46813</v>
      </c>
      <c r="C26" s="9" t="n">
        <v>500</v>
      </c>
      <c r="D26" s="9" t="n">
        <v>150</v>
      </c>
      <c r="E26" s="9" t="n">
        <v>350</v>
      </c>
      <c r="F26" s="9" t="n">
        <v>150</v>
      </c>
      <c r="G26" s="13" t="str">
        <f aca="false">IFERROR(IF(AND(COUNT(C26:F26)=4,MIN(C26:F26)&gt;=0,MAX(C26:F26)&lt;=1000000000,C26=ROUND(C26,2),D26=ROUND(D26,2),E26=ROUND(E26,2),F26=ROUND(F26,2)),"Bereit","Prüfen"),"Prüfen")</f>
        <v>Bereit</v>
      </c>
    </row>
    <row r="27" customFormat="false" ht="21.75" hidden="false" customHeight="true" outlineLevel="0" collapsed="false">
      <c r="A27" s="4" t="n">
        <v>18</v>
      </c>
      <c r="B27" s="14" t="n">
        <f aca="false">DATE(YEAR(Ziele!$B$6),MONTH(Ziele!$B$6)+17,1)</f>
        <v>46844</v>
      </c>
      <c r="C27" s="9" t="n">
        <v>500</v>
      </c>
      <c r="D27" s="9" t="n">
        <v>150</v>
      </c>
      <c r="E27" s="9" t="n">
        <v>350</v>
      </c>
      <c r="F27" s="9" t="n">
        <v>150</v>
      </c>
      <c r="G27" s="13" t="str">
        <f aca="false">IFERROR(IF(AND(COUNT(C27:F27)=4,MIN(C27:F27)&gt;=0,MAX(C27:F27)&lt;=1000000000,C27=ROUND(C27,2),D27=ROUND(D27,2),E27=ROUND(E27,2),F27=ROUND(F27,2)),"Bereit","Prüfen"),"Prüfen")</f>
        <v>Bereit</v>
      </c>
    </row>
    <row r="28" customFormat="false" ht="21.75" hidden="false" customHeight="true" outlineLevel="0" collapsed="false">
      <c r="A28" s="4" t="n">
        <v>19</v>
      </c>
      <c r="B28" s="14" t="n">
        <f aca="false">DATE(YEAR(Ziele!$B$6),MONTH(Ziele!$B$6)+18,1)</f>
        <v>46874</v>
      </c>
      <c r="C28" s="9" t="n">
        <v>500</v>
      </c>
      <c r="D28" s="9" t="n">
        <v>150</v>
      </c>
      <c r="E28" s="9" t="n">
        <v>500</v>
      </c>
      <c r="F28" s="9" t="n">
        <v>150</v>
      </c>
      <c r="G28" s="13" t="str">
        <f aca="false">IFERROR(IF(AND(COUNT(C28:F28)=4,MIN(C28:F28)&gt;=0,MAX(C28:F28)&lt;=1000000000,C28=ROUND(C28,2),D28=ROUND(D28,2),E28=ROUND(E28,2),F28=ROUND(F28,2)),"Bereit","Prüfen"),"Prüfen")</f>
        <v>Bereit</v>
      </c>
    </row>
    <row r="29" customFormat="false" ht="21.75" hidden="false" customHeight="true" outlineLevel="0" collapsed="false">
      <c r="A29" s="4" t="n">
        <v>20</v>
      </c>
      <c r="B29" s="14" t="n">
        <f aca="false">DATE(YEAR(Ziele!$B$6),MONTH(Ziele!$B$6)+19,1)</f>
        <v>46905</v>
      </c>
      <c r="C29" s="9" t="n">
        <v>500</v>
      </c>
      <c r="D29" s="9" t="n">
        <v>150</v>
      </c>
      <c r="E29" s="9" t="n">
        <v>500</v>
      </c>
      <c r="F29" s="9" t="n">
        <v>150</v>
      </c>
      <c r="G29" s="13" t="str">
        <f aca="false">IFERROR(IF(AND(COUNT(C29:F29)=4,MIN(C29:F29)&gt;=0,MAX(C29:F29)&lt;=1000000000,C29=ROUND(C29,2),D29=ROUND(D29,2),E29=ROUND(E29,2),F29=ROUND(F29,2)),"Bereit","Prüfen"),"Prüfen")</f>
        <v>Bereit</v>
      </c>
    </row>
    <row r="30" customFormat="false" ht="21.75" hidden="false" customHeight="true" outlineLevel="0" collapsed="false">
      <c r="A30" s="4" t="n">
        <v>21</v>
      </c>
      <c r="B30" s="14" t="n">
        <f aca="false">DATE(YEAR(Ziele!$B$6),MONTH(Ziele!$B$6)+20,1)</f>
        <v>46935</v>
      </c>
      <c r="C30" s="9" t="n">
        <v>500</v>
      </c>
      <c r="D30" s="9" t="n">
        <v>150</v>
      </c>
      <c r="E30" s="9" t="n">
        <v>500</v>
      </c>
      <c r="F30" s="9" t="n">
        <v>150</v>
      </c>
      <c r="G30" s="13" t="str">
        <f aca="false">IFERROR(IF(AND(COUNT(C30:F30)=4,MIN(C30:F30)&gt;=0,MAX(C30:F30)&lt;=1000000000,C30=ROUND(C30,2),D30=ROUND(D30,2),E30=ROUND(E30,2),F30=ROUND(F30,2)),"Bereit","Prüfen"),"Prüfen")</f>
        <v>Bereit</v>
      </c>
    </row>
    <row r="31" customFormat="false" ht="21.75" hidden="false" customHeight="true" outlineLevel="0" collapsed="false">
      <c r="A31" s="4" t="n">
        <v>22</v>
      </c>
      <c r="B31" s="14" t="n">
        <f aca="false">DATE(YEAR(Ziele!$B$6),MONTH(Ziele!$B$6)+21,1)</f>
        <v>46966</v>
      </c>
      <c r="C31" s="9" t="n">
        <v>500</v>
      </c>
      <c r="D31" s="9" t="n">
        <v>150</v>
      </c>
      <c r="E31" s="9" t="n">
        <v>500</v>
      </c>
      <c r="F31" s="9" t="n">
        <v>150</v>
      </c>
      <c r="G31" s="13" t="str">
        <f aca="false">IFERROR(IF(AND(COUNT(C31:F31)=4,MIN(C31:F31)&gt;=0,MAX(C31:F31)&lt;=1000000000,C31=ROUND(C31,2),D31=ROUND(D31,2),E31=ROUND(E31,2),F31=ROUND(F31,2)),"Bereit","Prüfen"),"Prüfen")</f>
        <v>Bereit</v>
      </c>
    </row>
    <row r="32" customFormat="false" ht="21.75" hidden="false" customHeight="true" outlineLevel="0" collapsed="false">
      <c r="A32" s="4" t="n">
        <v>23</v>
      </c>
      <c r="B32" s="14" t="n">
        <f aca="false">DATE(YEAR(Ziele!$B$6),MONTH(Ziele!$B$6)+22,1)</f>
        <v>46997</v>
      </c>
      <c r="C32" s="9" t="n">
        <v>500</v>
      </c>
      <c r="D32" s="9" t="n">
        <v>150</v>
      </c>
      <c r="E32" s="9" t="n">
        <v>500</v>
      </c>
      <c r="F32" s="9" t="n">
        <v>150</v>
      </c>
      <c r="G32" s="13" t="str">
        <f aca="false">IFERROR(IF(AND(COUNT(C32:F32)=4,MIN(C32:F32)&gt;=0,MAX(C32:F32)&lt;=1000000000,C32=ROUND(C32,2),D32=ROUND(D32,2),E32=ROUND(E32,2),F32=ROUND(F32,2)),"Bereit","Prüfen"),"Prüfen")</f>
        <v>Bereit</v>
      </c>
    </row>
    <row r="33" customFormat="false" ht="21.75" hidden="false" customHeight="true" outlineLevel="0" collapsed="false">
      <c r="A33" s="4" t="n">
        <v>24</v>
      </c>
      <c r="B33" s="14" t="n">
        <f aca="false">DATE(YEAR(Ziele!$B$6),MONTH(Ziele!$B$6)+23,1)</f>
        <v>47027</v>
      </c>
      <c r="C33" s="9" t="n">
        <v>500</v>
      </c>
      <c r="D33" s="9" t="n">
        <v>150</v>
      </c>
      <c r="E33" s="9" t="n">
        <v>500</v>
      </c>
      <c r="F33" s="9" t="n">
        <v>150</v>
      </c>
      <c r="G33" s="13" t="str">
        <f aca="false">IFERROR(IF(AND(COUNT(C33:F33)=4,MIN(C33:F33)&gt;=0,MAX(C33:F33)&lt;=1000000000,C33=ROUND(C33,2),D33=ROUND(D33,2),E33=ROUND(E33,2),F33=ROUND(F33,2)),"Bereit","Prüfen"),"Prüfen")</f>
        <v>Bereit</v>
      </c>
    </row>
    <row r="34" customFormat="false" ht="21.75" hidden="false" customHeight="true" outlineLevel="0" collapsed="false">
      <c r="A34" s="4" t="n">
        <v>25</v>
      </c>
      <c r="B34" s="14" t="n">
        <f aca="false">DATE(YEAR(Ziele!$B$6),MONTH(Ziele!$B$6)+24,1)</f>
        <v>47058</v>
      </c>
      <c r="C34" s="9" t="n">
        <v>500</v>
      </c>
      <c r="D34" s="9" t="n">
        <v>150</v>
      </c>
      <c r="E34" s="9" t="n">
        <v>500</v>
      </c>
      <c r="F34" s="9" t="n">
        <v>150</v>
      </c>
      <c r="G34" s="13" t="str">
        <f aca="false">IFERROR(IF(AND(COUNT(C34:F34)=4,MIN(C34:F34)&gt;=0,MAX(C34:F34)&lt;=1000000000,C34=ROUND(C34,2),D34=ROUND(D34,2),E34=ROUND(E34,2),F34=ROUND(F34,2)),"Bereit","Prüfen"),"Prüfen")</f>
        <v>Bereit</v>
      </c>
    </row>
    <row r="35" customFormat="false" ht="21.75" hidden="false" customHeight="true" outlineLevel="0" collapsed="false">
      <c r="A35" s="4" t="n">
        <v>26</v>
      </c>
      <c r="B35" s="14" t="n">
        <f aca="false">DATE(YEAR(Ziele!$B$6),MONTH(Ziele!$B$6)+25,1)</f>
        <v>47088</v>
      </c>
      <c r="C35" s="9" t="n">
        <v>500</v>
      </c>
      <c r="D35" s="9" t="n">
        <v>150</v>
      </c>
      <c r="E35" s="9" t="n">
        <v>500</v>
      </c>
      <c r="F35" s="9" t="n">
        <v>150</v>
      </c>
      <c r="G35" s="13" t="str">
        <f aca="false">IFERROR(IF(AND(COUNT(C35:F35)=4,MIN(C35:F35)&gt;=0,MAX(C35:F35)&lt;=1000000000,C35=ROUND(C35,2),D35=ROUND(D35,2),E35=ROUND(E35,2),F35=ROUND(F35,2)),"Bereit","Prüfen"),"Prüfen")</f>
        <v>Bereit</v>
      </c>
    </row>
    <row r="36" customFormat="false" ht="21.75" hidden="false" customHeight="true" outlineLevel="0" collapsed="false">
      <c r="A36" s="4" t="n">
        <v>27</v>
      </c>
      <c r="B36" s="14" t="n">
        <f aca="false">DATE(YEAR(Ziele!$B$6),MONTH(Ziele!$B$6)+26,1)</f>
        <v>47119</v>
      </c>
      <c r="C36" s="9" t="n">
        <v>500</v>
      </c>
      <c r="D36" s="9" t="n">
        <v>150</v>
      </c>
      <c r="E36" s="9" t="n">
        <v>500</v>
      </c>
      <c r="F36" s="9" t="n">
        <v>150</v>
      </c>
      <c r="G36" s="13" t="str">
        <f aca="false">IFERROR(IF(AND(COUNT(C36:F36)=4,MIN(C36:F36)&gt;=0,MAX(C36:F36)&lt;=1000000000,C36=ROUND(C36,2),D36=ROUND(D36,2),E36=ROUND(E36,2),F36=ROUND(F36,2)),"Bereit","Prüfen"),"Prüfen")</f>
        <v>Bereit</v>
      </c>
    </row>
    <row r="37" customFormat="false" ht="21.75" hidden="false" customHeight="true" outlineLevel="0" collapsed="false">
      <c r="A37" s="4" t="n">
        <v>28</v>
      </c>
      <c r="B37" s="14" t="n">
        <f aca="false">DATE(YEAR(Ziele!$B$6),MONTH(Ziele!$B$6)+27,1)</f>
        <v>47150</v>
      </c>
      <c r="C37" s="9" t="n">
        <v>500</v>
      </c>
      <c r="D37" s="9" t="n">
        <v>150</v>
      </c>
      <c r="E37" s="9" t="n">
        <v>500</v>
      </c>
      <c r="F37" s="9" t="n">
        <v>150</v>
      </c>
      <c r="G37" s="13" t="str">
        <f aca="false">IFERROR(IF(AND(COUNT(C37:F37)=4,MIN(C37:F37)&gt;=0,MAX(C37:F37)&lt;=1000000000,C37=ROUND(C37,2),D37=ROUND(D37,2),E37=ROUND(E37,2),F37=ROUND(F37,2)),"Bereit","Prüfen"),"Prüfen")</f>
        <v>Bereit</v>
      </c>
    </row>
    <row r="38" customFormat="false" ht="21.75" hidden="false" customHeight="true" outlineLevel="0" collapsed="false">
      <c r="A38" s="4" t="n">
        <v>29</v>
      </c>
      <c r="B38" s="14" t="n">
        <f aca="false">DATE(YEAR(Ziele!$B$6),MONTH(Ziele!$B$6)+28,1)</f>
        <v>47178</v>
      </c>
      <c r="C38" s="9" t="n">
        <v>500</v>
      </c>
      <c r="D38" s="9" t="n">
        <v>150</v>
      </c>
      <c r="E38" s="9" t="n">
        <v>500</v>
      </c>
      <c r="F38" s="9" t="n">
        <v>150</v>
      </c>
      <c r="G38" s="13" t="str">
        <f aca="false">IFERROR(IF(AND(COUNT(C38:F38)=4,MIN(C38:F38)&gt;=0,MAX(C38:F38)&lt;=1000000000,C38=ROUND(C38,2),D38=ROUND(D38,2),E38=ROUND(E38,2),F38=ROUND(F38,2)),"Bereit","Prüfen"),"Prüfen")</f>
        <v>Bereit</v>
      </c>
    </row>
    <row r="39" customFormat="false" ht="21.75" hidden="false" customHeight="true" outlineLevel="0" collapsed="false">
      <c r="A39" s="4" t="n">
        <v>30</v>
      </c>
      <c r="B39" s="14" t="n">
        <f aca="false">DATE(YEAR(Ziele!$B$6),MONTH(Ziele!$B$6)+29,1)</f>
        <v>47209</v>
      </c>
      <c r="C39" s="9" t="n">
        <v>500</v>
      </c>
      <c r="D39" s="9" t="n">
        <v>150</v>
      </c>
      <c r="E39" s="9" t="n">
        <v>500</v>
      </c>
      <c r="F39" s="9" t="n">
        <v>150</v>
      </c>
      <c r="G39" s="13" t="str">
        <f aca="false">IFERROR(IF(AND(COUNT(C39:F39)=4,MIN(C39:F39)&gt;=0,MAX(C39:F39)&lt;=1000000000,C39=ROUND(C39,2),D39=ROUND(D39,2),E39=ROUND(E39,2),F39=ROUND(F39,2)),"Bereit","Prüfen"),"Prüfen")</f>
        <v>Bereit</v>
      </c>
    </row>
    <row r="40" customFormat="false" ht="21.75" hidden="false" customHeight="true" outlineLevel="0" collapsed="false">
      <c r="A40" s="4" t="n">
        <v>31</v>
      </c>
      <c r="B40" s="14" t="n">
        <f aca="false">DATE(YEAR(Ziele!$B$6),MONTH(Ziele!$B$6)+30,1)</f>
        <v>47239</v>
      </c>
      <c r="C40" s="9" t="n">
        <v>500</v>
      </c>
      <c r="D40" s="9" t="n">
        <v>150</v>
      </c>
      <c r="E40" s="9" t="n">
        <v>500</v>
      </c>
      <c r="F40" s="9" t="n">
        <v>150</v>
      </c>
      <c r="G40" s="13" t="str">
        <f aca="false">IFERROR(IF(AND(COUNT(C40:F40)=4,MIN(C40:F40)&gt;=0,MAX(C40:F40)&lt;=1000000000,C40=ROUND(C40,2),D40=ROUND(D40,2),E40=ROUND(E40,2),F40=ROUND(F40,2)),"Bereit","Prüfen"),"Prüfen")</f>
        <v>Bereit</v>
      </c>
    </row>
    <row r="41" customFormat="false" ht="21.75" hidden="false" customHeight="true" outlineLevel="0" collapsed="false">
      <c r="A41" s="4" t="n">
        <v>32</v>
      </c>
      <c r="B41" s="14" t="n">
        <f aca="false">DATE(YEAR(Ziele!$B$6),MONTH(Ziele!$B$6)+31,1)</f>
        <v>47270</v>
      </c>
      <c r="C41" s="9" t="n">
        <v>500</v>
      </c>
      <c r="D41" s="9" t="n">
        <v>150</v>
      </c>
      <c r="E41" s="9" t="n">
        <v>500</v>
      </c>
      <c r="F41" s="9" t="n">
        <v>150</v>
      </c>
      <c r="G41" s="13" t="str">
        <f aca="false">IFERROR(IF(AND(COUNT(C41:F41)=4,MIN(C41:F41)&gt;=0,MAX(C41:F41)&lt;=1000000000,C41=ROUND(C41,2),D41=ROUND(D41,2),E41=ROUND(E41,2),F41=ROUND(F41,2)),"Bereit","Prüfen"),"Prüfen")</f>
        <v>Bereit</v>
      </c>
    </row>
    <row r="42" customFormat="false" ht="21.75" hidden="false" customHeight="true" outlineLevel="0" collapsed="false">
      <c r="A42" s="4" t="n">
        <v>33</v>
      </c>
      <c r="B42" s="14" t="n">
        <f aca="false">DATE(YEAR(Ziele!$B$6),MONTH(Ziele!$B$6)+32,1)</f>
        <v>47300</v>
      </c>
      <c r="C42" s="9" t="n">
        <v>500</v>
      </c>
      <c r="D42" s="9" t="n">
        <v>150</v>
      </c>
      <c r="E42" s="9" t="n">
        <v>500</v>
      </c>
      <c r="F42" s="9" t="n">
        <v>150</v>
      </c>
      <c r="G42" s="13" t="str">
        <f aca="false">IFERROR(IF(AND(COUNT(C42:F42)=4,MIN(C42:F42)&gt;=0,MAX(C42:F42)&lt;=1000000000,C42=ROUND(C42,2),D42=ROUND(D42,2),E42=ROUND(E42,2),F42=ROUND(F42,2)),"Bereit","Prüfen"),"Prüfen")</f>
        <v>Bereit</v>
      </c>
    </row>
    <row r="43" customFormat="false" ht="21.75" hidden="false" customHeight="true" outlineLevel="0" collapsed="false">
      <c r="A43" s="4" t="n">
        <v>34</v>
      </c>
      <c r="B43" s="14" t="n">
        <f aca="false">DATE(YEAR(Ziele!$B$6),MONTH(Ziele!$B$6)+33,1)</f>
        <v>47331</v>
      </c>
      <c r="C43" s="9" t="n">
        <v>500</v>
      </c>
      <c r="D43" s="9" t="n">
        <v>150</v>
      </c>
      <c r="E43" s="9" t="n">
        <v>500</v>
      </c>
      <c r="F43" s="9" t="n">
        <v>150</v>
      </c>
      <c r="G43" s="13" t="str">
        <f aca="false">IFERROR(IF(AND(COUNT(C43:F43)=4,MIN(C43:F43)&gt;=0,MAX(C43:F43)&lt;=1000000000,C43=ROUND(C43,2),D43=ROUND(D43,2),E43=ROUND(E43,2),F43=ROUND(F43,2)),"Bereit","Prüfen"),"Prüfen")</f>
        <v>Bereit</v>
      </c>
    </row>
    <row r="44" customFormat="false" ht="21.75" hidden="false" customHeight="true" outlineLevel="0" collapsed="false">
      <c r="A44" s="4" t="n">
        <v>35</v>
      </c>
      <c r="B44" s="14" t="n">
        <f aca="false">DATE(YEAR(Ziele!$B$6),MONTH(Ziele!$B$6)+34,1)</f>
        <v>47362</v>
      </c>
      <c r="C44" s="9" t="n">
        <v>500</v>
      </c>
      <c r="D44" s="9" t="n">
        <v>150</v>
      </c>
      <c r="E44" s="9" t="n">
        <v>500</v>
      </c>
      <c r="F44" s="9" t="n">
        <v>150</v>
      </c>
      <c r="G44" s="13" t="str">
        <f aca="false">IFERROR(IF(AND(COUNT(C44:F44)=4,MIN(C44:F44)&gt;=0,MAX(C44:F44)&lt;=1000000000,C44=ROUND(C44,2),D44=ROUND(D44,2),E44=ROUND(E44,2),F44=ROUND(F44,2)),"Bereit","Prüfen"),"Prüfen")</f>
        <v>Bereit</v>
      </c>
    </row>
    <row r="45" customFormat="false" ht="21.75" hidden="false" customHeight="true" outlineLevel="0" collapsed="false">
      <c r="A45" s="4" t="n">
        <v>36</v>
      </c>
      <c r="B45" s="14" t="n">
        <f aca="false">DATE(YEAR(Ziele!$B$6),MONTH(Ziele!$B$6)+35,1)</f>
        <v>47392</v>
      </c>
      <c r="C45" s="9" t="n">
        <v>500</v>
      </c>
      <c r="D45" s="9" t="n">
        <v>150</v>
      </c>
      <c r="E45" s="9" t="n">
        <v>500</v>
      </c>
      <c r="F45" s="9" t="n">
        <v>150</v>
      </c>
      <c r="G45" s="13" t="str">
        <f aca="false">IFERROR(IF(AND(COUNT(C45:F45)=4,MIN(C45:F45)&gt;=0,MAX(C45:F45)&lt;=1000000000,C45=ROUND(C45,2),D45=ROUND(D45,2),E45=ROUND(E45,2),F45=ROUND(F45,2)),"Bereit","Prüfen"),"Prüfen")</f>
        <v>Bereit</v>
      </c>
    </row>
    <row r="46" customFormat="false" ht="21.75" hidden="false" customHeight="true" outlineLevel="0" collapsed="false">
      <c r="A46" s="4" t="n">
        <v>37</v>
      </c>
      <c r="B46" s="14" t="n">
        <f aca="false">DATE(YEAR(Ziele!$B$6),MONTH(Ziele!$B$6)+36,1)</f>
        <v>47423</v>
      </c>
      <c r="C46" s="9" t="n">
        <v>500</v>
      </c>
      <c r="D46" s="9" t="n">
        <v>150</v>
      </c>
      <c r="E46" s="9" t="n">
        <v>500</v>
      </c>
      <c r="F46" s="9" t="n">
        <v>150</v>
      </c>
      <c r="G46" s="13" t="str">
        <f aca="false">IFERROR(IF(AND(COUNT(C46:F46)=4,MIN(C46:F46)&gt;=0,MAX(C46:F46)&lt;=1000000000,C46=ROUND(C46,2),D46=ROUND(D46,2),E46=ROUND(E46,2),F46=ROUND(F46,2)),"Bereit","Prüfen"),"Prüfen")</f>
        <v>Bereit</v>
      </c>
    </row>
    <row r="47" customFormat="false" ht="21.75" hidden="false" customHeight="true" outlineLevel="0" collapsed="false">
      <c r="A47" s="4" t="n">
        <v>38</v>
      </c>
      <c r="B47" s="14" t="n">
        <f aca="false">DATE(YEAR(Ziele!$B$6),MONTH(Ziele!$B$6)+37,1)</f>
        <v>47453</v>
      </c>
      <c r="C47" s="9" t="n">
        <v>500</v>
      </c>
      <c r="D47" s="9" t="n">
        <v>150</v>
      </c>
      <c r="E47" s="9" t="n">
        <v>500</v>
      </c>
      <c r="F47" s="9" t="n">
        <v>150</v>
      </c>
      <c r="G47" s="13" t="str">
        <f aca="false">IFERROR(IF(AND(COUNT(C47:F47)=4,MIN(C47:F47)&gt;=0,MAX(C47:F47)&lt;=1000000000,C47=ROUND(C47,2),D47=ROUND(D47,2),E47=ROUND(E47,2),F47=ROUND(F47,2)),"Bereit","Prüfen"),"Prüfen")</f>
        <v>Bereit</v>
      </c>
    </row>
    <row r="48" customFormat="false" ht="21.75" hidden="false" customHeight="true" outlineLevel="0" collapsed="false">
      <c r="A48" s="4" t="n">
        <v>39</v>
      </c>
      <c r="B48" s="14" t="n">
        <f aca="false">DATE(YEAR(Ziele!$B$6),MONTH(Ziele!$B$6)+38,1)</f>
        <v>47484</v>
      </c>
      <c r="C48" s="9" t="n">
        <v>500</v>
      </c>
      <c r="D48" s="9" t="n">
        <v>150</v>
      </c>
      <c r="E48" s="9" t="n">
        <v>500</v>
      </c>
      <c r="F48" s="9" t="n">
        <v>150</v>
      </c>
      <c r="G48" s="13" t="str">
        <f aca="false">IFERROR(IF(AND(COUNT(C48:F48)=4,MIN(C48:F48)&gt;=0,MAX(C48:F48)&lt;=1000000000,C48=ROUND(C48,2),D48=ROUND(D48,2),E48=ROUND(E48,2),F48=ROUND(F48,2)),"Bereit","Prüfen"),"Prüfen")</f>
        <v>Bereit</v>
      </c>
    </row>
    <row r="49" customFormat="false" ht="21.75" hidden="false" customHeight="true" outlineLevel="0" collapsed="false">
      <c r="A49" s="4" t="n">
        <v>40</v>
      </c>
      <c r="B49" s="14" t="n">
        <f aca="false">DATE(YEAR(Ziele!$B$6),MONTH(Ziele!$B$6)+39,1)</f>
        <v>47515</v>
      </c>
      <c r="C49" s="9" t="n">
        <v>500</v>
      </c>
      <c r="D49" s="9" t="n">
        <v>150</v>
      </c>
      <c r="E49" s="9" t="n">
        <v>500</v>
      </c>
      <c r="F49" s="9" t="n">
        <v>150</v>
      </c>
      <c r="G49" s="13" t="str">
        <f aca="false">IFERROR(IF(AND(COUNT(C49:F49)=4,MIN(C49:F49)&gt;=0,MAX(C49:F49)&lt;=1000000000,C49=ROUND(C49,2),D49=ROUND(D49,2),E49=ROUND(E49,2),F49=ROUND(F49,2)),"Bereit","Prüfen"),"Prüfen")</f>
        <v>Bereit</v>
      </c>
    </row>
    <row r="50" customFormat="false" ht="21.75" hidden="false" customHeight="true" outlineLevel="0" collapsed="false">
      <c r="A50" s="4" t="n">
        <v>41</v>
      </c>
      <c r="B50" s="14" t="n">
        <f aca="false">DATE(YEAR(Ziele!$B$6),MONTH(Ziele!$B$6)+40,1)</f>
        <v>47543</v>
      </c>
      <c r="C50" s="9" t="n">
        <v>500</v>
      </c>
      <c r="D50" s="9" t="n">
        <v>150</v>
      </c>
      <c r="E50" s="9" t="n">
        <v>500</v>
      </c>
      <c r="F50" s="9" t="n">
        <v>150</v>
      </c>
      <c r="G50" s="13" t="str">
        <f aca="false">IFERROR(IF(AND(COUNT(C50:F50)=4,MIN(C50:F50)&gt;=0,MAX(C50:F50)&lt;=1000000000,C50=ROUND(C50,2),D50=ROUND(D50,2),E50=ROUND(E50,2),F50=ROUND(F50,2)),"Bereit","Prüfen"),"Prüfen")</f>
        <v>Bereit</v>
      </c>
    </row>
    <row r="51" customFormat="false" ht="21.75" hidden="false" customHeight="true" outlineLevel="0" collapsed="false">
      <c r="A51" s="4" t="n">
        <v>42</v>
      </c>
      <c r="B51" s="14" t="n">
        <f aca="false">DATE(YEAR(Ziele!$B$6),MONTH(Ziele!$B$6)+41,1)</f>
        <v>47574</v>
      </c>
      <c r="C51" s="9" t="n">
        <v>500</v>
      </c>
      <c r="D51" s="9" t="n">
        <v>150</v>
      </c>
      <c r="E51" s="9" t="n">
        <v>500</v>
      </c>
      <c r="F51" s="9" t="n">
        <v>150</v>
      </c>
      <c r="G51" s="13" t="str">
        <f aca="false">IFERROR(IF(AND(COUNT(C51:F51)=4,MIN(C51:F51)&gt;=0,MAX(C51:F51)&lt;=1000000000,C51=ROUND(C51,2),D51=ROUND(D51,2),E51=ROUND(E51,2),F51=ROUND(F51,2)),"Bereit","Prüfen"),"Prüfen")</f>
        <v>Bereit</v>
      </c>
    </row>
    <row r="52" customFormat="false" ht="21.75" hidden="false" customHeight="true" outlineLevel="0" collapsed="false">
      <c r="A52" s="4" t="n">
        <v>43</v>
      </c>
      <c r="B52" s="14" t="n">
        <f aca="false">DATE(YEAR(Ziele!$B$6),MONTH(Ziele!$B$6)+42,1)</f>
        <v>47604</v>
      </c>
      <c r="C52" s="9" t="n">
        <v>500</v>
      </c>
      <c r="D52" s="9" t="n">
        <v>150</v>
      </c>
      <c r="E52" s="9" t="n">
        <v>500</v>
      </c>
      <c r="F52" s="9" t="n">
        <v>150</v>
      </c>
      <c r="G52" s="13" t="str">
        <f aca="false">IFERROR(IF(AND(COUNT(C52:F52)=4,MIN(C52:F52)&gt;=0,MAX(C52:F52)&lt;=1000000000,C52=ROUND(C52,2),D52=ROUND(D52,2),E52=ROUND(E52,2),F52=ROUND(F52,2)),"Bereit","Prüfen"),"Prüfen")</f>
        <v>Bereit</v>
      </c>
    </row>
    <row r="53" customFormat="false" ht="21.75" hidden="false" customHeight="true" outlineLevel="0" collapsed="false">
      <c r="A53" s="4" t="n">
        <v>44</v>
      </c>
      <c r="B53" s="14" t="n">
        <f aca="false">DATE(YEAR(Ziele!$B$6),MONTH(Ziele!$B$6)+43,1)</f>
        <v>47635</v>
      </c>
      <c r="C53" s="9" t="n">
        <v>500</v>
      </c>
      <c r="D53" s="9" t="n">
        <v>150</v>
      </c>
      <c r="E53" s="9" t="n">
        <v>500</v>
      </c>
      <c r="F53" s="9" t="n">
        <v>150</v>
      </c>
      <c r="G53" s="13" t="str">
        <f aca="false">IFERROR(IF(AND(COUNT(C53:F53)=4,MIN(C53:F53)&gt;=0,MAX(C53:F53)&lt;=1000000000,C53=ROUND(C53,2),D53=ROUND(D53,2),E53=ROUND(E53,2),F53=ROUND(F53,2)),"Bereit","Prüfen"),"Prüfen")</f>
        <v>Bereit</v>
      </c>
    </row>
    <row r="54" customFormat="false" ht="21.75" hidden="false" customHeight="true" outlineLevel="0" collapsed="false">
      <c r="A54" s="4" t="n">
        <v>45</v>
      </c>
      <c r="B54" s="14" t="n">
        <f aca="false">DATE(YEAR(Ziele!$B$6),MONTH(Ziele!$B$6)+44,1)</f>
        <v>47665</v>
      </c>
      <c r="C54" s="9" t="n">
        <v>500</v>
      </c>
      <c r="D54" s="9" t="n">
        <v>150</v>
      </c>
      <c r="E54" s="9" t="n">
        <v>500</v>
      </c>
      <c r="F54" s="9" t="n">
        <v>150</v>
      </c>
      <c r="G54" s="13" t="str">
        <f aca="false">IFERROR(IF(AND(COUNT(C54:F54)=4,MIN(C54:F54)&gt;=0,MAX(C54:F54)&lt;=1000000000,C54=ROUND(C54,2),D54=ROUND(D54,2),E54=ROUND(E54,2),F54=ROUND(F54,2)),"Bereit","Prüfen"),"Prüfen")</f>
        <v>Bereit</v>
      </c>
    </row>
    <row r="55" customFormat="false" ht="21.75" hidden="false" customHeight="true" outlineLevel="0" collapsed="false">
      <c r="A55" s="4" t="n">
        <v>46</v>
      </c>
      <c r="B55" s="14" t="n">
        <f aca="false">DATE(YEAR(Ziele!$B$6),MONTH(Ziele!$B$6)+45,1)</f>
        <v>47696</v>
      </c>
      <c r="C55" s="9" t="n">
        <v>500</v>
      </c>
      <c r="D55" s="9" t="n">
        <v>150</v>
      </c>
      <c r="E55" s="9" t="n">
        <v>500</v>
      </c>
      <c r="F55" s="9" t="n">
        <v>150</v>
      </c>
      <c r="G55" s="13" t="str">
        <f aca="false">IFERROR(IF(AND(COUNT(C55:F55)=4,MIN(C55:F55)&gt;=0,MAX(C55:F55)&lt;=1000000000,C55=ROUND(C55,2),D55=ROUND(D55,2),E55=ROUND(E55,2),F55=ROUND(F55,2)),"Bereit","Prüfen"),"Prüfen")</f>
        <v>Bereit</v>
      </c>
    </row>
    <row r="56" customFormat="false" ht="21.75" hidden="false" customHeight="true" outlineLevel="0" collapsed="false">
      <c r="A56" s="4" t="n">
        <v>47</v>
      </c>
      <c r="B56" s="14" t="n">
        <f aca="false">DATE(YEAR(Ziele!$B$6),MONTH(Ziele!$B$6)+46,1)</f>
        <v>47727</v>
      </c>
      <c r="C56" s="9" t="n">
        <v>500</v>
      </c>
      <c r="D56" s="9" t="n">
        <v>150</v>
      </c>
      <c r="E56" s="9" t="n">
        <v>500</v>
      </c>
      <c r="F56" s="9" t="n">
        <v>150</v>
      </c>
      <c r="G56" s="13" t="str">
        <f aca="false">IFERROR(IF(AND(COUNT(C56:F56)=4,MIN(C56:F56)&gt;=0,MAX(C56:F56)&lt;=1000000000,C56=ROUND(C56,2),D56=ROUND(D56,2),E56=ROUND(E56,2),F56=ROUND(F56,2)),"Bereit","Prüfen"),"Prüfen")</f>
        <v>Bereit</v>
      </c>
    </row>
    <row r="57" customFormat="false" ht="21.75" hidden="false" customHeight="true" outlineLevel="0" collapsed="false">
      <c r="A57" s="4" t="n">
        <v>48</v>
      </c>
      <c r="B57" s="14" t="n">
        <f aca="false">DATE(YEAR(Ziele!$B$6),MONTH(Ziele!$B$6)+47,1)</f>
        <v>47757</v>
      </c>
      <c r="C57" s="9" t="n">
        <v>500</v>
      </c>
      <c r="D57" s="9" t="n">
        <v>150</v>
      </c>
      <c r="E57" s="9" t="n">
        <v>500</v>
      </c>
      <c r="F57" s="9" t="n">
        <v>150</v>
      </c>
      <c r="G57" s="13" t="str">
        <f aca="false">IFERROR(IF(AND(COUNT(C57:F57)=4,MIN(C57:F57)&gt;=0,MAX(C57:F57)&lt;=1000000000,C57=ROUND(C57,2),D57=ROUND(D57,2),E57=ROUND(E57,2),F57=ROUND(F57,2)),"Bereit","Prüfen"),"Prüfen")</f>
        <v>Bereit</v>
      </c>
    </row>
    <row r="58" customFormat="false" ht="21.75" hidden="false" customHeight="true" outlineLevel="0" collapsed="false">
      <c r="A58" s="4" t="n">
        <v>49</v>
      </c>
      <c r="B58" s="14" t="n">
        <f aca="false">DATE(YEAR(Ziele!$B$6),MONTH(Ziele!$B$6)+48,1)</f>
        <v>47788</v>
      </c>
      <c r="C58" s="9" t="n">
        <v>500</v>
      </c>
      <c r="D58" s="9" t="n">
        <v>150</v>
      </c>
      <c r="E58" s="9" t="n">
        <v>500</v>
      </c>
      <c r="F58" s="9" t="n">
        <v>150</v>
      </c>
      <c r="G58" s="13" t="str">
        <f aca="false">IFERROR(IF(AND(COUNT(C58:F58)=4,MIN(C58:F58)&gt;=0,MAX(C58:F58)&lt;=1000000000,C58=ROUND(C58,2),D58=ROUND(D58,2),E58=ROUND(E58,2),F58=ROUND(F58,2)),"Bereit","Prüfen"),"Prüfen")</f>
        <v>Bereit</v>
      </c>
    </row>
    <row r="59" customFormat="false" ht="21.75" hidden="false" customHeight="true" outlineLevel="0" collapsed="false">
      <c r="A59" s="4" t="n">
        <v>50</v>
      </c>
      <c r="B59" s="14" t="n">
        <f aca="false">DATE(YEAR(Ziele!$B$6),MONTH(Ziele!$B$6)+49,1)</f>
        <v>47818</v>
      </c>
      <c r="C59" s="9" t="n">
        <v>500</v>
      </c>
      <c r="D59" s="9" t="n">
        <v>150</v>
      </c>
      <c r="E59" s="9" t="n">
        <v>500</v>
      </c>
      <c r="F59" s="9" t="n">
        <v>150</v>
      </c>
      <c r="G59" s="13" t="str">
        <f aca="false">IFERROR(IF(AND(COUNT(C59:F59)=4,MIN(C59:F59)&gt;=0,MAX(C59:F59)&lt;=1000000000,C59=ROUND(C59,2),D59=ROUND(D59,2),E59=ROUND(E59,2),F59=ROUND(F59,2)),"Bereit","Prüfen"),"Prüfen")</f>
        <v>Bereit</v>
      </c>
    </row>
    <row r="60" customFormat="false" ht="21.75" hidden="false" customHeight="true" outlineLevel="0" collapsed="false">
      <c r="A60" s="4" t="n">
        <v>51</v>
      </c>
      <c r="B60" s="14" t="n">
        <f aca="false">DATE(YEAR(Ziele!$B$6),MONTH(Ziele!$B$6)+50,1)</f>
        <v>47849</v>
      </c>
      <c r="C60" s="9" t="n">
        <v>500</v>
      </c>
      <c r="D60" s="9" t="n">
        <v>150</v>
      </c>
      <c r="E60" s="9" t="n">
        <v>500</v>
      </c>
      <c r="F60" s="9" t="n">
        <v>150</v>
      </c>
      <c r="G60" s="13" t="str">
        <f aca="false">IFERROR(IF(AND(COUNT(C60:F60)=4,MIN(C60:F60)&gt;=0,MAX(C60:F60)&lt;=1000000000,C60=ROUND(C60,2),D60=ROUND(D60,2),E60=ROUND(E60,2),F60=ROUND(F60,2)),"Bereit","Prüfen"),"Prüfen")</f>
        <v>Bereit</v>
      </c>
    </row>
    <row r="61" customFormat="false" ht="21.75" hidden="false" customHeight="true" outlineLevel="0" collapsed="false">
      <c r="A61" s="4" t="n">
        <v>52</v>
      </c>
      <c r="B61" s="14" t="n">
        <f aca="false">DATE(YEAR(Ziele!$B$6),MONTH(Ziele!$B$6)+51,1)</f>
        <v>47880</v>
      </c>
      <c r="C61" s="9" t="n">
        <v>500</v>
      </c>
      <c r="D61" s="9" t="n">
        <v>150</v>
      </c>
      <c r="E61" s="9" t="n">
        <v>500</v>
      </c>
      <c r="F61" s="9" t="n">
        <v>150</v>
      </c>
      <c r="G61" s="13" t="str">
        <f aca="false">IFERROR(IF(AND(COUNT(C61:F61)=4,MIN(C61:F61)&gt;=0,MAX(C61:F61)&lt;=1000000000,C61=ROUND(C61,2),D61=ROUND(D61,2),E61=ROUND(E61,2),F61=ROUND(F61,2)),"Bereit","Prüfen"),"Prüfen")</f>
        <v>Bereit</v>
      </c>
    </row>
    <row r="62" customFormat="false" ht="21.75" hidden="false" customHeight="true" outlineLevel="0" collapsed="false">
      <c r="A62" s="4" t="n">
        <v>53</v>
      </c>
      <c r="B62" s="14" t="n">
        <f aca="false">DATE(YEAR(Ziele!$B$6),MONTH(Ziele!$B$6)+52,1)</f>
        <v>47908</v>
      </c>
      <c r="C62" s="9" t="n">
        <v>500</v>
      </c>
      <c r="D62" s="9" t="n">
        <v>150</v>
      </c>
      <c r="E62" s="9" t="n">
        <v>500</v>
      </c>
      <c r="F62" s="9" t="n">
        <v>150</v>
      </c>
      <c r="G62" s="13" t="str">
        <f aca="false">IFERROR(IF(AND(COUNT(C62:F62)=4,MIN(C62:F62)&gt;=0,MAX(C62:F62)&lt;=1000000000,C62=ROUND(C62,2),D62=ROUND(D62,2),E62=ROUND(E62,2),F62=ROUND(F62,2)),"Bereit","Prüfen"),"Prüfen")</f>
        <v>Bereit</v>
      </c>
    </row>
    <row r="63" customFormat="false" ht="21.75" hidden="false" customHeight="true" outlineLevel="0" collapsed="false">
      <c r="A63" s="4" t="n">
        <v>54</v>
      </c>
      <c r="B63" s="14" t="n">
        <f aca="false">DATE(YEAR(Ziele!$B$6),MONTH(Ziele!$B$6)+53,1)</f>
        <v>47939</v>
      </c>
      <c r="C63" s="9" t="n">
        <v>500</v>
      </c>
      <c r="D63" s="9" t="n">
        <v>150</v>
      </c>
      <c r="E63" s="9" t="n">
        <v>500</v>
      </c>
      <c r="F63" s="9" t="n">
        <v>150</v>
      </c>
      <c r="G63" s="13" t="str">
        <f aca="false">IFERROR(IF(AND(COUNT(C63:F63)=4,MIN(C63:F63)&gt;=0,MAX(C63:F63)&lt;=1000000000,C63=ROUND(C63,2),D63=ROUND(D63,2),E63=ROUND(E63,2),F63=ROUND(F63,2)),"Bereit","Prüfen"),"Prüfen")</f>
        <v>Bereit</v>
      </c>
    </row>
    <row r="64" customFormat="false" ht="21.75" hidden="false" customHeight="true" outlineLevel="0" collapsed="false">
      <c r="A64" s="4" t="n">
        <v>55</v>
      </c>
      <c r="B64" s="14" t="n">
        <f aca="false">DATE(YEAR(Ziele!$B$6),MONTH(Ziele!$B$6)+54,1)</f>
        <v>47969</v>
      </c>
      <c r="C64" s="9" t="n">
        <v>500</v>
      </c>
      <c r="D64" s="9" t="n">
        <v>150</v>
      </c>
      <c r="E64" s="9" t="n">
        <v>500</v>
      </c>
      <c r="F64" s="9" t="n">
        <v>150</v>
      </c>
      <c r="G64" s="13" t="str">
        <f aca="false">IFERROR(IF(AND(COUNT(C64:F64)=4,MIN(C64:F64)&gt;=0,MAX(C64:F64)&lt;=1000000000,C64=ROUND(C64,2),D64=ROUND(D64,2),E64=ROUND(E64,2),F64=ROUND(F64,2)),"Bereit","Prüfen"),"Prüfen")</f>
        <v>Bereit</v>
      </c>
    </row>
    <row r="65" customFormat="false" ht="21.75" hidden="false" customHeight="true" outlineLevel="0" collapsed="false">
      <c r="A65" s="4" t="n">
        <v>56</v>
      </c>
      <c r="B65" s="14" t="n">
        <f aca="false">DATE(YEAR(Ziele!$B$6),MONTH(Ziele!$B$6)+55,1)</f>
        <v>48000</v>
      </c>
      <c r="C65" s="9" t="n">
        <v>500</v>
      </c>
      <c r="D65" s="9" t="n">
        <v>150</v>
      </c>
      <c r="E65" s="9" t="n">
        <v>500</v>
      </c>
      <c r="F65" s="9" t="n">
        <v>150</v>
      </c>
      <c r="G65" s="13" t="str">
        <f aca="false">IFERROR(IF(AND(COUNT(C65:F65)=4,MIN(C65:F65)&gt;=0,MAX(C65:F65)&lt;=1000000000,C65=ROUND(C65,2),D65=ROUND(D65,2),E65=ROUND(E65,2),F65=ROUND(F65,2)),"Bereit","Prüfen"),"Prüfen")</f>
        <v>Bereit</v>
      </c>
    </row>
    <row r="66" customFormat="false" ht="21.75" hidden="false" customHeight="true" outlineLevel="0" collapsed="false">
      <c r="A66" s="4" t="n">
        <v>57</v>
      </c>
      <c r="B66" s="14" t="n">
        <f aca="false">DATE(YEAR(Ziele!$B$6),MONTH(Ziele!$B$6)+56,1)</f>
        <v>48030</v>
      </c>
      <c r="C66" s="9" t="n">
        <v>500</v>
      </c>
      <c r="D66" s="9" t="n">
        <v>150</v>
      </c>
      <c r="E66" s="9" t="n">
        <v>500</v>
      </c>
      <c r="F66" s="9" t="n">
        <v>150</v>
      </c>
      <c r="G66" s="13" t="str">
        <f aca="false">IFERROR(IF(AND(COUNT(C66:F66)=4,MIN(C66:F66)&gt;=0,MAX(C66:F66)&lt;=1000000000,C66=ROUND(C66,2),D66=ROUND(D66,2),E66=ROUND(E66,2),F66=ROUND(F66,2)),"Bereit","Prüfen"),"Prüfen")</f>
        <v>Bereit</v>
      </c>
    </row>
    <row r="67" customFormat="false" ht="21.75" hidden="false" customHeight="true" outlineLevel="0" collapsed="false">
      <c r="A67" s="4" t="n">
        <v>58</v>
      </c>
      <c r="B67" s="14" t="n">
        <f aca="false">DATE(YEAR(Ziele!$B$6),MONTH(Ziele!$B$6)+57,1)</f>
        <v>48061</v>
      </c>
      <c r="C67" s="9" t="n">
        <v>500</v>
      </c>
      <c r="D67" s="9" t="n">
        <v>150</v>
      </c>
      <c r="E67" s="9" t="n">
        <v>500</v>
      </c>
      <c r="F67" s="9" t="n">
        <v>150</v>
      </c>
      <c r="G67" s="13" t="str">
        <f aca="false">IFERROR(IF(AND(COUNT(C67:F67)=4,MIN(C67:F67)&gt;=0,MAX(C67:F67)&lt;=1000000000,C67=ROUND(C67,2),D67=ROUND(D67,2),E67=ROUND(E67,2),F67=ROUND(F67,2)),"Bereit","Prüfen"),"Prüfen")</f>
        <v>Bereit</v>
      </c>
    </row>
    <row r="68" customFormat="false" ht="21.75" hidden="false" customHeight="true" outlineLevel="0" collapsed="false">
      <c r="A68" s="4" t="n">
        <v>59</v>
      </c>
      <c r="B68" s="14" t="n">
        <f aca="false">DATE(YEAR(Ziele!$B$6),MONTH(Ziele!$B$6)+58,1)</f>
        <v>48092</v>
      </c>
      <c r="C68" s="9" t="n">
        <v>500</v>
      </c>
      <c r="D68" s="9" t="n">
        <v>150</v>
      </c>
      <c r="E68" s="9" t="n">
        <v>500</v>
      </c>
      <c r="F68" s="9" t="n">
        <v>150</v>
      </c>
      <c r="G68" s="13" t="str">
        <f aca="false">IFERROR(IF(AND(COUNT(C68:F68)=4,MIN(C68:F68)&gt;=0,MAX(C68:F68)&lt;=1000000000,C68=ROUND(C68,2),D68=ROUND(D68,2),E68=ROUND(E68,2),F68=ROUND(F68,2)),"Bereit","Prüfen"),"Prüfen")</f>
        <v>Bereit</v>
      </c>
    </row>
    <row r="69" customFormat="false" ht="21.75" hidden="false" customHeight="true" outlineLevel="0" collapsed="false">
      <c r="A69" s="4" t="n">
        <v>60</v>
      </c>
      <c r="B69" s="14" t="n">
        <f aca="false">DATE(YEAR(Ziele!$B$6),MONTH(Ziele!$B$6)+59,1)</f>
        <v>48122</v>
      </c>
      <c r="C69" s="9" t="n">
        <v>500</v>
      </c>
      <c r="D69" s="9" t="n">
        <v>150</v>
      </c>
      <c r="E69" s="9" t="n">
        <v>500</v>
      </c>
      <c r="F69" s="9" t="n">
        <v>150</v>
      </c>
      <c r="G69" s="13" t="str">
        <f aca="false">IFERROR(IF(AND(COUNT(C69:F69)=4,MIN(C69:F69)&gt;=0,MAX(C69:F69)&lt;=1000000000,C69=ROUND(C69,2),D69=ROUND(D69,2),E69=ROUND(E69,2),F69=ROUND(F69,2)),"Bereit","Prüfen"),"Prüfen")</f>
        <v>Bereit</v>
      </c>
    </row>
  </sheetData>
  <mergeCells count="3">
    <mergeCell ref="A1:G2"/>
    <mergeCell ref="A4:G4"/>
    <mergeCell ref="A6:G6"/>
  </mergeCells>
  <conditionalFormatting sqref="G10:G69">
    <cfRule type="expression" priority="2" aboveAverage="0" equalAverage="0" bottom="0" percent="0" rank="0" text="" dxfId="0">
      <formula>AND(G10&lt;&gt;"Bereit",G10&lt;&gt;"Nicht aktiv")</formula>
    </cfRule>
  </conditionalFormatting>
  <dataValidations count="1">
    <dataValidation allowBlank="false" error="Verwende einen Betrag ab 0 mit höchstens zwei Nachkommastellen; Monate sind ganze Zahlen." errorStyle="stop" errorTitle="Eingabe prüfen" operator="between" showDropDown="false" showErrorMessage="true" showInputMessage="false" sqref="C10:F69" type="decimal">
      <formula1>0</formula1>
      <formula2>1000000000</formula2>
    </dataValidation>
  </dataValidations>
  <printOptions headings="false" gridLines="false" gridLinesSet="true" horizontalCentered="false" verticalCentered="false"/>
  <pageMargins left="0.3" right="0.3" top="0.35" bottom="0.3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&amp;Linvesthoch3.de · Sparziel-Fahrplan 0.2&amp;R&amp;P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7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4" ySplit="6" topLeftCell="E7" activePane="bottomRight" state="frozen"/>
      <selection pane="topLeft" activeCell="A1" activeCellId="0" sqref="A1"/>
      <selection pane="topRight" activeCell="E1" activeCellId="0" sqref="E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7"/>
    <col collapsed="false" customWidth="true" hidden="false" outlineLevel="0" max="4" min="4" style="0" width="18"/>
    <col collapsed="false" customWidth="true" hidden="false" outlineLevel="0" max="10" min="5" style="0" width="16"/>
    <col collapsed="false" customWidth="true" hidden="false" outlineLevel="0" max="11" min="11" style="0" width="17"/>
    <col collapsed="false" customWidth="true" hidden="false" outlineLevel="0" max="12" min="12" style="0" width="15"/>
  </cols>
  <sheetData>
    <row r="1" customFormat="false" ht="24" hidden="false" customHeight="true" outlineLevel="0" collapsed="false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customFormat="false" ht="30" hidden="false" customHeight="true" outlineLevel="0" collapsed="false">
      <c r="A4" s="2" t="s">
        <v>57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33.75" hidden="false" customHeight="true" outlineLevel="0" collapsed="false">
      <c r="A6" s="5" t="s">
        <v>30</v>
      </c>
      <c r="B6" s="5" t="s">
        <v>58</v>
      </c>
      <c r="C6" s="5" t="s">
        <v>59</v>
      </c>
      <c r="D6" s="5" t="s">
        <v>60</v>
      </c>
      <c r="E6" s="5" t="str">
        <f aca="false">IF(Ziele!A10="","Ziel 1",Ziele!A10)</f>
        <v>Reserve</v>
      </c>
      <c r="F6" s="5" t="str">
        <f aca="false">IF(Ziele!A11="","Ziel 2",Ziele!A11)</f>
        <v>Eigenkapital</v>
      </c>
      <c r="G6" s="5" t="str">
        <f aca="false">IF(Ziele!A12="","Ziel 3",Ziele!A12)</f>
        <v>Ziel 3</v>
      </c>
      <c r="H6" s="5" t="str">
        <f aca="false">IF(Ziele!A13="","Ziel 4",Ziele!A13)</f>
        <v>Ziel 4</v>
      </c>
      <c r="I6" s="5" t="str">
        <f aca="false">IF(Ziele!A14="","Ziel 5",Ziele!A14)</f>
        <v>Ziel 5</v>
      </c>
      <c r="J6" s="5" t="str">
        <f aca="false">IF(Ziele!A15="","Ziel 6",Ziele!A15)</f>
        <v>Ziel 6</v>
      </c>
      <c r="K6" s="5" t="s">
        <v>61</v>
      </c>
      <c r="L6" s="5" t="s">
        <v>62</v>
      </c>
    </row>
    <row r="7" customFormat="false" ht="22.5" hidden="false" customHeight="true" outlineLevel="0" collapsed="false">
      <c r="A7" s="6" t="n">
        <f aca="false">IF(AND(Ziele!$B$18="Plan bereit",1&lt;=Ziele!$B$5),1,"")</f>
        <v>1</v>
      </c>
      <c r="B7" s="7" t="n">
        <f aca="false">IF(AND(Ziele!$B$18="Plan bereit",1&lt;=Ziele!$B$5),Budgets!C10,"")</f>
        <v>500</v>
      </c>
      <c r="C7" s="7" t="n">
        <f aca="false">IF(AND(Ziele!$B$18="Plan bereit",1&lt;=Ziele!$B$5),ROUND(MIN(Budgets!D10,0+B7),2),"")</f>
        <v>150</v>
      </c>
      <c r="D7" s="7" t="n">
        <f aca="false">IF(AND(Ziele!$B$18="Plan bereit",1&lt;=Ziele!$B$5),ROUND(Budgets!D10-C7,2),"")</f>
        <v>0</v>
      </c>
      <c r="E7" s="7" t="n">
        <f aca="false">IF(AND(Ziele!$B$18="Plan bereit",1&lt;=Ziele!$B$5),ROUND(MAX(0,MIN(MAX(0,ROUND(Ziele!C10-Ziele!B10,2)),IF(Ziele!E10="",MAX(0,ROUND(Ziele!C10-Ziele!B10,2)),Ziele!E10),0+B7-C7-0)),2),"")</f>
        <v>200</v>
      </c>
      <c r="F7" s="7" t="n">
        <f aca="false">IF(AND(Ziele!$B$18="Plan bereit",1&lt;=Ziele!$B$5),ROUND(MAX(0,MIN(MAX(0,ROUND(Ziele!C11-Ziele!B11,2)),IF(Ziele!E11="",MAX(0,ROUND(Ziele!C11-Ziele!B11,2)),Ziele!E11),0+B7-C7-SUM(E7:E7))),2),"")</f>
        <v>150</v>
      </c>
      <c r="G7" s="7" t="n">
        <f aca="false">IF(AND(Ziele!$B$18="Plan bereit",1&lt;=Ziele!$B$5),ROUND(MAX(0,MIN(MAX(0,ROUND(Ziele!C12-Ziele!B12,2)),IF(Ziele!E12="",MAX(0,ROUND(Ziele!C12-Ziele!B12,2)),Ziele!E12),0+B7-C7-SUM(E7:F7))),2),"")</f>
        <v>0</v>
      </c>
      <c r="H7" s="7" t="n">
        <f aca="false">IF(AND(Ziele!$B$18="Plan bereit",1&lt;=Ziele!$B$5),ROUND(MAX(0,MIN(MAX(0,ROUND(Ziele!C13-Ziele!B13,2)),IF(Ziele!E13="",MAX(0,ROUND(Ziele!C13-Ziele!B13,2)),Ziele!E13),0+B7-C7-SUM(E7:G7))),2),"")</f>
        <v>0</v>
      </c>
      <c r="I7" s="7" t="n">
        <f aca="false">IF(AND(Ziele!$B$18="Plan bereit",1&lt;=Ziele!$B$5),ROUND(MAX(0,MIN(MAX(0,ROUND(Ziele!C14-Ziele!B14,2)),IF(Ziele!E14="",MAX(0,ROUND(Ziele!C14-Ziele!B14,2)),Ziele!E14),0+B7-C7-SUM(E7:H7))),2),"")</f>
        <v>0</v>
      </c>
      <c r="J7" s="7" t="n">
        <f aca="false">IF(AND(Ziele!$B$18="Plan bereit",1&lt;=Ziele!$B$5),ROUND(MAX(0,MIN(MAX(0,ROUND(Ziele!C15-Ziele!B15,2)),IF(Ziele!E15="",MAX(0,ROUND(Ziele!C15-Ziele!B15,2)),Ziele!E15),0+B7-C7-SUM(E7:I7))),2),"")</f>
        <v>0</v>
      </c>
      <c r="K7" s="7" t="n">
        <f aca="false">IF(AND(Ziele!$B$18="Plan bereit",1&lt;=Ziele!$B$5),ROUND(0+B7-C7-SUM(E7:J7),2),"")</f>
        <v>0</v>
      </c>
      <c r="L7" s="7" t="n">
        <f aca="false">IF(AND(Ziele!$B$18="Plan bereit",1&lt;=Ziele!$B$5),ROUND(Ziele!$B$4+SUM(B$7:B7)-SUM(C$7:C7)-H75-K7-Ziele!$B$21,2),"")</f>
        <v>0</v>
      </c>
    </row>
    <row r="8" customFormat="false" ht="22.5" hidden="false" customHeight="true" outlineLevel="0" collapsed="false">
      <c r="A8" s="6" t="n">
        <f aca="false">IF(AND(Ziele!$B$18="Plan bereit",2&lt;=Ziele!$B$5),2,"")</f>
        <v>2</v>
      </c>
      <c r="B8" s="7" t="n">
        <f aca="false">IF(AND(Ziele!$B$18="Plan bereit",2&lt;=Ziele!$B$5),Budgets!C11,"")</f>
        <v>500</v>
      </c>
      <c r="C8" s="7" t="n">
        <f aca="false">IF(AND(Ziele!$B$18="Plan bereit",2&lt;=Ziele!$B$5),ROUND(MIN(Budgets!D11,K7+B8),2),"")</f>
        <v>150</v>
      </c>
      <c r="D8" s="7" t="n">
        <f aca="false">IF(AND(Ziele!$B$18="Plan bereit",2&lt;=Ziele!$B$5),ROUND(Budgets!D11-C8,2),"")</f>
        <v>0</v>
      </c>
      <c r="E8" s="7" t="n">
        <f aca="false">IF(AND(Ziele!$B$18="Plan bereit",2&lt;=Ziele!$B$5),ROUND(MAX(0,MIN(MAX(0,ROUND(Ziele!C10-B75,2)),IF(Ziele!E10="",MAX(0,ROUND(Ziele!C10-B75,2)),Ziele!E10),K7+B8-C8-0)),2),"")</f>
        <v>200</v>
      </c>
      <c r="F8" s="7" t="n">
        <f aca="false">IF(AND(Ziele!$B$18="Plan bereit",2&lt;=Ziele!$B$5),ROUND(MAX(0,MIN(MAX(0,ROUND(Ziele!C11-C75,2)),IF(Ziele!E11="",MAX(0,ROUND(Ziele!C11-C75,2)),Ziele!E11),K7+B8-C8-SUM(E8:E8))),2),"")</f>
        <v>150</v>
      </c>
      <c r="G8" s="7" t="n">
        <f aca="false">IF(AND(Ziele!$B$18="Plan bereit",2&lt;=Ziele!$B$5),ROUND(MAX(0,MIN(MAX(0,ROUND(Ziele!C12-D75,2)),IF(Ziele!E12="",MAX(0,ROUND(Ziele!C12-D75,2)),Ziele!E12),K7+B8-C8-SUM(E8:F8))),2),"")</f>
        <v>0</v>
      </c>
      <c r="H8" s="7" t="n">
        <f aca="false">IF(AND(Ziele!$B$18="Plan bereit",2&lt;=Ziele!$B$5),ROUND(MAX(0,MIN(MAX(0,ROUND(Ziele!C13-E75,2)),IF(Ziele!E13="",MAX(0,ROUND(Ziele!C13-E75,2)),Ziele!E13),K7+B8-C8-SUM(E8:G8))),2),"")</f>
        <v>0</v>
      </c>
      <c r="I8" s="7" t="n">
        <f aca="false">IF(AND(Ziele!$B$18="Plan bereit",2&lt;=Ziele!$B$5),ROUND(MAX(0,MIN(MAX(0,ROUND(Ziele!C14-F75,2)),IF(Ziele!E14="",MAX(0,ROUND(Ziele!C14-F75,2)),Ziele!E14),K7+B8-C8-SUM(E8:H8))),2),"")</f>
        <v>0</v>
      </c>
      <c r="J8" s="7" t="n">
        <f aca="false">IF(AND(Ziele!$B$18="Plan bereit",2&lt;=Ziele!$B$5),ROUND(MAX(0,MIN(MAX(0,ROUND(Ziele!C15-G75,2)),IF(Ziele!E15="",MAX(0,ROUND(Ziele!C15-G75,2)),Ziele!E15),K7+B8-C8-SUM(E8:I8))),2),"")</f>
        <v>0</v>
      </c>
      <c r="K8" s="7" t="n">
        <f aca="false">IF(AND(Ziele!$B$18="Plan bereit",2&lt;=Ziele!$B$5),ROUND(K7+B8-C8-SUM(E8:J8),2),"")</f>
        <v>0</v>
      </c>
      <c r="L8" s="7" t="n">
        <f aca="false">IF(AND(Ziele!$B$18="Plan bereit",2&lt;=Ziele!$B$5),ROUND(Ziele!$B$4+SUM(B$7:B8)-SUM(C$7:C8)-H76-K8-Ziele!$B$21,2),"")</f>
        <v>0</v>
      </c>
    </row>
    <row r="9" customFormat="false" ht="22.5" hidden="false" customHeight="true" outlineLevel="0" collapsed="false">
      <c r="A9" s="6" t="n">
        <f aca="false">IF(AND(Ziele!$B$18="Plan bereit",3&lt;=Ziele!$B$5),3,"")</f>
        <v>3</v>
      </c>
      <c r="B9" s="7" t="n">
        <f aca="false">IF(AND(Ziele!$B$18="Plan bereit",3&lt;=Ziele!$B$5),Budgets!C12,"")</f>
        <v>500</v>
      </c>
      <c r="C9" s="7" t="n">
        <f aca="false">IF(AND(Ziele!$B$18="Plan bereit",3&lt;=Ziele!$B$5),ROUND(MIN(Budgets!D12,K8+B9),2),"")</f>
        <v>150</v>
      </c>
      <c r="D9" s="7" t="n">
        <f aca="false">IF(AND(Ziele!$B$18="Plan bereit",3&lt;=Ziele!$B$5),ROUND(Budgets!D12-C9,2),"")</f>
        <v>0</v>
      </c>
      <c r="E9" s="7" t="n">
        <f aca="false">IF(AND(Ziele!$B$18="Plan bereit",3&lt;=Ziele!$B$5),ROUND(MAX(0,MIN(MAX(0,ROUND(Ziele!C10-B76,2)),IF(Ziele!E10="",MAX(0,ROUND(Ziele!C10-B76,2)),Ziele!E10),K8+B9-C9-0)),2),"")</f>
        <v>200</v>
      </c>
      <c r="F9" s="7" t="n">
        <f aca="false">IF(AND(Ziele!$B$18="Plan bereit",3&lt;=Ziele!$B$5),ROUND(MAX(0,MIN(MAX(0,ROUND(Ziele!C11-C76,2)),IF(Ziele!E11="",MAX(0,ROUND(Ziele!C11-C76,2)),Ziele!E11),K8+B9-C9-SUM(E9:E9))),2),"")</f>
        <v>150</v>
      </c>
      <c r="G9" s="7" t="n">
        <f aca="false">IF(AND(Ziele!$B$18="Plan bereit",3&lt;=Ziele!$B$5),ROUND(MAX(0,MIN(MAX(0,ROUND(Ziele!C12-D76,2)),IF(Ziele!E12="",MAX(0,ROUND(Ziele!C12-D76,2)),Ziele!E12),K8+B9-C9-SUM(E9:F9))),2),"")</f>
        <v>0</v>
      </c>
      <c r="H9" s="7" t="n">
        <f aca="false">IF(AND(Ziele!$B$18="Plan bereit",3&lt;=Ziele!$B$5),ROUND(MAX(0,MIN(MAX(0,ROUND(Ziele!C13-E76,2)),IF(Ziele!E13="",MAX(0,ROUND(Ziele!C13-E76,2)),Ziele!E13),K8+B9-C9-SUM(E9:G9))),2),"")</f>
        <v>0</v>
      </c>
      <c r="I9" s="7" t="n">
        <f aca="false">IF(AND(Ziele!$B$18="Plan bereit",3&lt;=Ziele!$B$5),ROUND(MAX(0,MIN(MAX(0,ROUND(Ziele!C14-F76,2)),IF(Ziele!E14="",MAX(0,ROUND(Ziele!C14-F76,2)),Ziele!E14),K8+B9-C9-SUM(E9:H9))),2),"")</f>
        <v>0</v>
      </c>
      <c r="J9" s="7" t="n">
        <f aca="false">IF(AND(Ziele!$B$18="Plan bereit",3&lt;=Ziele!$B$5),ROUND(MAX(0,MIN(MAX(0,ROUND(Ziele!C15-G76,2)),IF(Ziele!E15="",MAX(0,ROUND(Ziele!C15-G76,2)),Ziele!E15),K8+B9-C9-SUM(E9:I9))),2),"")</f>
        <v>0</v>
      </c>
      <c r="K9" s="7" t="n">
        <f aca="false">IF(AND(Ziele!$B$18="Plan bereit",3&lt;=Ziele!$B$5),ROUND(K8+B9-C9-SUM(E9:J9),2),"")</f>
        <v>0</v>
      </c>
      <c r="L9" s="7" t="n">
        <f aca="false">IF(AND(Ziele!$B$18="Plan bereit",3&lt;=Ziele!$B$5),ROUND(Ziele!$B$4+SUM(B$7:B9)-SUM(C$7:C9)-H77-K9-Ziele!$B$21,2),"")</f>
        <v>0</v>
      </c>
    </row>
    <row r="10" customFormat="false" ht="22.5" hidden="false" customHeight="true" outlineLevel="0" collapsed="false">
      <c r="A10" s="6" t="n">
        <f aca="false">IF(AND(Ziele!$B$18="Plan bereit",4&lt;=Ziele!$B$5),4,"")</f>
        <v>4</v>
      </c>
      <c r="B10" s="7" t="n">
        <f aca="false">IF(AND(Ziele!$B$18="Plan bereit",4&lt;=Ziele!$B$5),Budgets!C13,"")</f>
        <v>500</v>
      </c>
      <c r="C10" s="7" t="n">
        <f aca="false">IF(AND(Ziele!$B$18="Plan bereit",4&lt;=Ziele!$B$5),ROUND(MIN(Budgets!D13,K9+B10),2),"")</f>
        <v>150</v>
      </c>
      <c r="D10" s="7" t="n">
        <f aca="false">IF(AND(Ziele!$B$18="Plan bereit",4&lt;=Ziele!$B$5),ROUND(Budgets!D13-C10,2),"")</f>
        <v>0</v>
      </c>
      <c r="E10" s="7" t="n">
        <f aca="false">IF(AND(Ziele!$B$18="Plan bereit",4&lt;=Ziele!$B$5),ROUND(MAX(0,MIN(MAX(0,ROUND(Ziele!C10-B77,2)),IF(Ziele!E10="",MAX(0,ROUND(Ziele!C10-B77,2)),Ziele!E10),K9+B10-C10-0)),2),"")</f>
        <v>200</v>
      </c>
      <c r="F10" s="7" t="n">
        <f aca="false">IF(AND(Ziele!$B$18="Plan bereit",4&lt;=Ziele!$B$5),ROUND(MAX(0,MIN(MAX(0,ROUND(Ziele!C11-C77,2)),IF(Ziele!E11="",MAX(0,ROUND(Ziele!C11-C77,2)),Ziele!E11),K9+B10-C10-SUM(E10:E10))),2),"")</f>
        <v>150</v>
      </c>
      <c r="G10" s="7" t="n">
        <f aca="false">IF(AND(Ziele!$B$18="Plan bereit",4&lt;=Ziele!$B$5),ROUND(MAX(0,MIN(MAX(0,ROUND(Ziele!C12-D77,2)),IF(Ziele!E12="",MAX(0,ROUND(Ziele!C12-D77,2)),Ziele!E12),K9+B10-C10-SUM(E10:F10))),2),"")</f>
        <v>0</v>
      </c>
      <c r="H10" s="7" t="n">
        <f aca="false">IF(AND(Ziele!$B$18="Plan bereit",4&lt;=Ziele!$B$5),ROUND(MAX(0,MIN(MAX(0,ROUND(Ziele!C13-E77,2)),IF(Ziele!E13="",MAX(0,ROUND(Ziele!C13-E77,2)),Ziele!E13),K9+B10-C10-SUM(E10:G10))),2),"")</f>
        <v>0</v>
      </c>
      <c r="I10" s="7" t="n">
        <f aca="false">IF(AND(Ziele!$B$18="Plan bereit",4&lt;=Ziele!$B$5),ROUND(MAX(0,MIN(MAX(0,ROUND(Ziele!C14-F77,2)),IF(Ziele!E14="",MAX(0,ROUND(Ziele!C14-F77,2)),Ziele!E14),K9+B10-C10-SUM(E10:H10))),2),"")</f>
        <v>0</v>
      </c>
      <c r="J10" s="7" t="n">
        <f aca="false">IF(AND(Ziele!$B$18="Plan bereit",4&lt;=Ziele!$B$5),ROUND(MAX(0,MIN(MAX(0,ROUND(Ziele!C15-G77,2)),IF(Ziele!E15="",MAX(0,ROUND(Ziele!C15-G77,2)),Ziele!E15),K9+B10-C10-SUM(E10:I10))),2),"")</f>
        <v>0</v>
      </c>
      <c r="K10" s="7" t="n">
        <f aca="false">IF(AND(Ziele!$B$18="Plan bereit",4&lt;=Ziele!$B$5),ROUND(K9+B10-C10-SUM(E10:J10),2),"")</f>
        <v>0</v>
      </c>
      <c r="L10" s="7" t="n">
        <f aca="false">IF(AND(Ziele!$B$18="Plan bereit",4&lt;=Ziele!$B$5),ROUND(Ziele!$B$4+SUM(B$7:B10)-SUM(C$7:C10)-H78-K10-Ziele!$B$21,2),"")</f>
        <v>0</v>
      </c>
    </row>
    <row r="11" customFormat="false" ht="22.5" hidden="false" customHeight="true" outlineLevel="0" collapsed="false">
      <c r="A11" s="6" t="n">
        <f aca="false">IF(AND(Ziele!$B$18="Plan bereit",5&lt;=Ziele!$B$5),5,"")</f>
        <v>5</v>
      </c>
      <c r="B11" s="7" t="n">
        <f aca="false">IF(AND(Ziele!$B$18="Plan bereit",5&lt;=Ziele!$B$5),Budgets!C14,"")</f>
        <v>500</v>
      </c>
      <c r="C11" s="7" t="n">
        <f aca="false">IF(AND(Ziele!$B$18="Plan bereit",5&lt;=Ziele!$B$5),ROUND(MIN(Budgets!D14,K10+B11),2),"")</f>
        <v>150</v>
      </c>
      <c r="D11" s="7" t="n">
        <f aca="false">IF(AND(Ziele!$B$18="Plan bereit",5&lt;=Ziele!$B$5),ROUND(Budgets!D14-C11,2),"")</f>
        <v>0</v>
      </c>
      <c r="E11" s="7" t="n">
        <f aca="false">IF(AND(Ziele!$B$18="Plan bereit",5&lt;=Ziele!$B$5),ROUND(MAX(0,MIN(MAX(0,ROUND(Ziele!C10-B78,2)),IF(Ziele!E10="",MAX(0,ROUND(Ziele!C10-B78,2)),Ziele!E10),K10+B11-C11-0)),2),"")</f>
        <v>200</v>
      </c>
      <c r="F11" s="7" t="n">
        <f aca="false">IF(AND(Ziele!$B$18="Plan bereit",5&lt;=Ziele!$B$5),ROUND(MAX(0,MIN(MAX(0,ROUND(Ziele!C11-C78,2)),IF(Ziele!E11="",MAX(0,ROUND(Ziele!C11-C78,2)),Ziele!E11),K10+B11-C11-SUM(E11:E11))),2),"")</f>
        <v>150</v>
      </c>
      <c r="G11" s="7" t="n">
        <f aca="false">IF(AND(Ziele!$B$18="Plan bereit",5&lt;=Ziele!$B$5),ROUND(MAX(0,MIN(MAX(0,ROUND(Ziele!C12-D78,2)),IF(Ziele!E12="",MAX(0,ROUND(Ziele!C12-D78,2)),Ziele!E12),K10+B11-C11-SUM(E11:F11))),2),"")</f>
        <v>0</v>
      </c>
      <c r="H11" s="7" t="n">
        <f aca="false">IF(AND(Ziele!$B$18="Plan bereit",5&lt;=Ziele!$B$5),ROUND(MAX(0,MIN(MAX(0,ROUND(Ziele!C13-E78,2)),IF(Ziele!E13="",MAX(0,ROUND(Ziele!C13-E78,2)),Ziele!E13),K10+B11-C11-SUM(E11:G11))),2),"")</f>
        <v>0</v>
      </c>
      <c r="I11" s="7" t="n">
        <f aca="false">IF(AND(Ziele!$B$18="Plan bereit",5&lt;=Ziele!$B$5),ROUND(MAX(0,MIN(MAX(0,ROUND(Ziele!C14-F78,2)),IF(Ziele!E14="",MAX(0,ROUND(Ziele!C14-F78,2)),Ziele!E14),K10+B11-C11-SUM(E11:H11))),2),"")</f>
        <v>0</v>
      </c>
      <c r="J11" s="7" t="n">
        <f aca="false">IF(AND(Ziele!$B$18="Plan bereit",5&lt;=Ziele!$B$5),ROUND(MAX(0,MIN(MAX(0,ROUND(Ziele!C15-G78,2)),IF(Ziele!E15="",MAX(0,ROUND(Ziele!C15-G78,2)),Ziele!E15),K10+B11-C11-SUM(E11:I11))),2),"")</f>
        <v>0</v>
      </c>
      <c r="K11" s="7" t="n">
        <f aca="false">IF(AND(Ziele!$B$18="Plan bereit",5&lt;=Ziele!$B$5),ROUND(K10+B11-C11-SUM(E11:J11),2),"")</f>
        <v>0</v>
      </c>
      <c r="L11" s="7" t="n">
        <f aca="false">IF(AND(Ziele!$B$18="Plan bereit",5&lt;=Ziele!$B$5),ROUND(Ziele!$B$4+SUM(B$7:B11)-SUM(C$7:C11)-H79-K11-Ziele!$B$21,2),"")</f>
        <v>0</v>
      </c>
    </row>
    <row r="12" customFormat="false" ht="22.5" hidden="false" customHeight="true" outlineLevel="0" collapsed="false">
      <c r="A12" s="6" t="n">
        <f aca="false">IF(AND(Ziele!$B$18="Plan bereit",6&lt;=Ziele!$B$5),6,"")</f>
        <v>6</v>
      </c>
      <c r="B12" s="7" t="n">
        <f aca="false">IF(AND(Ziele!$B$18="Plan bereit",6&lt;=Ziele!$B$5),Budgets!C15,"")</f>
        <v>500</v>
      </c>
      <c r="C12" s="7" t="n">
        <f aca="false">IF(AND(Ziele!$B$18="Plan bereit",6&lt;=Ziele!$B$5),ROUND(MIN(Budgets!D15,K11+B12),2),"")</f>
        <v>150</v>
      </c>
      <c r="D12" s="7" t="n">
        <f aca="false">IF(AND(Ziele!$B$18="Plan bereit",6&lt;=Ziele!$B$5),ROUND(Budgets!D15-C12,2),"")</f>
        <v>0</v>
      </c>
      <c r="E12" s="7" t="n">
        <f aca="false">IF(AND(Ziele!$B$18="Plan bereit",6&lt;=Ziele!$B$5),ROUND(MAX(0,MIN(MAX(0,ROUND(Ziele!C10-B79,2)),IF(Ziele!E10="",MAX(0,ROUND(Ziele!C10-B79,2)),Ziele!E10),K11+B12-C12-0)),2),"")</f>
        <v>200</v>
      </c>
      <c r="F12" s="7" t="n">
        <f aca="false">IF(AND(Ziele!$B$18="Plan bereit",6&lt;=Ziele!$B$5),ROUND(MAX(0,MIN(MAX(0,ROUND(Ziele!C11-C79,2)),IF(Ziele!E11="",MAX(0,ROUND(Ziele!C11-C79,2)),Ziele!E11),K11+B12-C12-SUM(E12:E12))),2),"")</f>
        <v>150</v>
      </c>
      <c r="G12" s="7" t="n">
        <f aca="false">IF(AND(Ziele!$B$18="Plan bereit",6&lt;=Ziele!$B$5),ROUND(MAX(0,MIN(MAX(0,ROUND(Ziele!C12-D79,2)),IF(Ziele!E12="",MAX(0,ROUND(Ziele!C12-D79,2)),Ziele!E12),K11+B12-C12-SUM(E12:F12))),2),"")</f>
        <v>0</v>
      </c>
      <c r="H12" s="7" t="n">
        <f aca="false">IF(AND(Ziele!$B$18="Plan bereit",6&lt;=Ziele!$B$5),ROUND(MAX(0,MIN(MAX(0,ROUND(Ziele!C13-E79,2)),IF(Ziele!E13="",MAX(0,ROUND(Ziele!C13-E79,2)),Ziele!E13),K11+B12-C12-SUM(E12:G12))),2),"")</f>
        <v>0</v>
      </c>
      <c r="I12" s="7" t="n">
        <f aca="false">IF(AND(Ziele!$B$18="Plan bereit",6&lt;=Ziele!$B$5),ROUND(MAX(0,MIN(MAX(0,ROUND(Ziele!C14-F79,2)),IF(Ziele!E14="",MAX(0,ROUND(Ziele!C14-F79,2)),Ziele!E14),K11+B12-C12-SUM(E12:H12))),2),"")</f>
        <v>0</v>
      </c>
      <c r="J12" s="7" t="n">
        <f aca="false">IF(AND(Ziele!$B$18="Plan bereit",6&lt;=Ziele!$B$5),ROUND(MAX(0,MIN(MAX(0,ROUND(Ziele!C15-G79,2)),IF(Ziele!E15="",MAX(0,ROUND(Ziele!C15-G79,2)),Ziele!E15),K11+B12-C12-SUM(E12:I12))),2),"")</f>
        <v>0</v>
      </c>
      <c r="K12" s="7" t="n">
        <f aca="false">IF(AND(Ziele!$B$18="Plan bereit",6&lt;=Ziele!$B$5),ROUND(K11+B12-C12-SUM(E12:J12),2),"")</f>
        <v>0</v>
      </c>
      <c r="L12" s="7" t="n">
        <f aca="false">IF(AND(Ziele!$B$18="Plan bereit",6&lt;=Ziele!$B$5),ROUND(Ziele!$B$4+SUM(B$7:B12)-SUM(C$7:C12)-H80-K12-Ziele!$B$21,2),"")</f>
        <v>0</v>
      </c>
    </row>
    <row r="13" customFormat="false" ht="22.5" hidden="false" customHeight="true" outlineLevel="0" collapsed="false">
      <c r="A13" s="6" t="n">
        <f aca="false">IF(AND(Ziele!$B$18="Plan bereit",7&lt;=Ziele!$B$5),7,"")</f>
        <v>7</v>
      </c>
      <c r="B13" s="7" t="n">
        <f aca="false">IF(AND(Ziele!$B$18="Plan bereit",7&lt;=Ziele!$B$5),Budgets!C16,"")</f>
        <v>500</v>
      </c>
      <c r="C13" s="7" t="n">
        <f aca="false">IF(AND(Ziele!$B$18="Plan bereit",7&lt;=Ziele!$B$5),ROUND(MIN(Budgets!D16,K12+B13),2),"")</f>
        <v>150</v>
      </c>
      <c r="D13" s="7" t="n">
        <f aca="false">IF(AND(Ziele!$B$18="Plan bereit",7&lt;=Ziele!$B$5),ROUND(Budgets!D16-C13,2),"")</f>
        <v>0</v>
      </c>
      <c r="E13" s="7" t="n">
        <f aca="false">IF(AND(Ziele!$B$18="Plan bereit",7&lt;=Ziele!$B$5),ROUND(MAX(0,MIN(MAX(0,ROUND(Ziele!C10-B80,2)),IF(Ziele!E10="",MAX(0,ROUND(Ziele!C10-B80,2)),Ziele!E10),K12+B13-C13-0)),2),"")</f>
        <v>200</v>
      </c>
      <c r="F13" s="7" t="n">
        <f aca="false">IF(AND(Ziele!$B$18="Plan bereit",7&lt;=Ziele!$B$5),ROUND(MAX(0,MIN(MAX(0,ROUND(Ziele!C11-C80,2)),IF(Ziele!E11="",MAX(0,ROUND(Ziele!C11-C80,2)),Ziele!E11),K12+B13-C13-SUM(E13:E13))),2),"")</f>
        <v>150</v>
      </c>
      <c r="G13" s="7" t="n">
        <f aca="false">IF(AND(Ziele!$B$18="Plan bereit",7&lt;=Ziele!$B$5),ROUND(MAX(0,MIN(MAX(0,ROUND(Ziele!C12-D80,2)),IF(Ziele!E12="",MAX(0,ROUND(Ziele!C12-D80,2)),Ziele!E12),K12+B13-C13-SUM(E13:F13))),2),"")</f>
        <v>0</v>
      </c>
      <c r="H13" s="7" t="n">
        <f aca="false">IF(AND(Ziele!$B$18="Plan bereit",7&lt;=Ziele!$B$5),ROUND(MAX(0,MIN(MAX(0,ROUND(Ziele!C13-E80,2)),IF(Ziele!E13="",MAX(0,ROUND(Ziele!C13-E80,2)),Ziele!E13),K12+B13-C13-SUM(E13:G13))),2),"")</f>
        <v>0</v>
      </c>
      <c r="I13" s="7" t="n">
        <f aca="false">IF(AND(Ziele!$B$18="Plan bereit",7&lt;=Ziele!$B$5),ROUND(MAX(0,MIN(MAX(0,ROUND(Ziele!C14-F80,2)),IF(Ziele!E14="",MAX(0,ROUND(Ziele!C14-F80,2)),Ziele!E14),K12+B13-C13-SUM(E13:H13))),2),"")</f>
        <v>0</v>
      </c>
      <c r="J13" s="7" t="n">
        <f aca="false">IF(AND(Ziele!$B$18="Plan bereit",7&lt;=Ziele!$B$5),ROUND(MAX(0,MIN(MAX(0,ROUND(Ziele!C15-G80,2)),IF(Ziele!E15="",MAX(0,ROUND(Ziele!C15-G80,2)),Ziele!E15),K12+B13-C13-SUM(E13:I13))),2),"")</f>
        <v>0</v>
      </c>
      <c r="K13" s="7" t="n">
        <f aca="false">IF(AND(Ziele!$B$18="Plan bereit",7&lt;=Ziele!$B$5),ROUND(K12+B13-C13-SUM(E13:J13),2),"")</f>
        <v>0</v>
      </c>
      <c r="L13" s="7" t="n">
        <f aca="false">IF(AND(Ziele!$B$18="Plan bereit",7&lt;=Ziele!$B$5),ROUND(Ziele!$B$4+SUM(B$7:B13)-SUM(C$7:C13)-H81-K13-Ziele!$B$21,2),"")</f>
        <v>0</v>
      </c>
    </row>
    <row r="14" customFormat="false" ht="22.5" hidden="false" customHeight="true" outlineLevel="0" collapsed="false">
      <c r="A14" s="6" t="n">
        <f aca="false">IF(AND(Ziele!$B$18="Plan bereit",8&lt;=Ziele!$B$5),8,"")</f>
        <v>8</v>
      </c>
      <c r="B14" s="7" t="n">
        <f aca="false">IF(AND(Ziele!$B$18="Plan bereit",8&lt;=Ziele!$B$5),Budgets!C17,"")</f>
        <v>500</v>
      </c>
      <c r="C14" s="7" t="n">
        <f aca="false">IF(AND(Ziele!$B$18="Plan bereit",8&lt;=Ziele!$B$5),ROUND(MIN(Budgets!D17,K13+B14),2),"")</f>
        <v>150</v>
      </c>
      <c r="D14" s="7" t="n">
        <f aca="false">IF(AND(Ziele!$B$18="Plan bereit",8&lt;=Ziele!$B$5),ROUND(Budgets!D17-C14,2),"")</f>
        <v>0</v>
      </c>
      <c r="E14" s="7" t="n">
        <f aca="false">IF(AND(Ziele!$B$18="Plan bereit",8&lt;=Ziele!$B$5),ROUND(MAX(0,MIN(MAX(0,ROUND(Ziele!C10-B81,2)),IF(Ziele!E10="",MAX(0,ROUND(Ziele!C10-B81,2)),Ziele!E10),K13+B14-C14-0)),2),"")</f>
        <v>200</v>
      </c>
      <c r="F14" s="7" t="n">
        <f aca="false">IF(AND(Ziele!$B$18="Plan bereit",8&lt;=Ziele!$B$5),ROUND(MAX(0,MIN(MAX(0,ROUND(Ziele!C11-C81,2)),IF(Ziele!E11="",MAX(0,ROUND(Ziele!C11-C81,2)),Ziele!E11),K13+B14-C14-SUM(E14:E14))),2),"")</f>
        <v>150</v>
      </c>
      <c r="G14" s="7" t="n">
        <f aca="false">IF(AND(Ziele!$B$18="Plan bereit",8&lt;=Ziele!$B$5),ROUND(MAX(0,MIN(MAX(0,ROUND(Ziele!C12-D81,2)),IF(Ziele!E12="",MAX(0,ROUND(Ziele!C12-D81,2)),Ziele!E12),K13+B14-C14-SUM(E14:F14))),2),"")</f>
        <v>0</v>
      </c>
      <c r="H14" s="7" t="n">
        <f aca="false">IF(AND(Ziele!$B$18="Plan bereit",8&lt;=Ziele!$B$5),ROUND(MAX(0,MIN(MAX(0,ROUND(Ziele!C13-E81,2)),IF(Ziele!E13="",MAX(0,ROUND(Ziele!C13-E81,2)),Ziele!E13),K13+B14-C14-SUM(E14:G14))),2),"")</f>
        <v>0</v>
      </c>
      <c r="I14" s="7" t="n">
        <f aca="false">IF(AND(Ziele!$B$18="Plan bereit",8&lt;=Ziele!$B$5),ROUND(MAX(0,MIN(MAX(0,ROUND(Ziele!C14-F81,2)),IF(Ziele!E14="",MAX(0,ROUND(Ziele!C14-F81,2)),Ziele!E14),K13+B14-C14-SUM(E14:H14))),2),"")</f>
        <v>0</v>
      </c>
      <c r="J14" s="7" t="n">
        <f aca="false">IF(AND(Ziele!$B$18="Plan bereit",8&lt;=Ziele!$B$5),ROUND(MAX(0,MIN(MAX(0,ROUND(Ziele!C15-G81,2)),IF(Ziele!E15="",MAX(0,ROUND(Ziele!C15-G81,2)),Ziele!E15),K13+B14-C14-SUM(E14:I14))),2),"")</f>
        <v>0</v>
      </c>
      <c r="K14" s="7" t="n">
        <f aca="false">IF(AND(Ziele!$B$18="Plan bereit",8&lt;=Ziele!$B$5),ROUND(K13+B14-C14-SUM(E14:J14),2),"")</f>
        <v>0</v>
      </c>
      <c r="L14" s="7" t="n">
        <f aca="false">IF(AND(Ziele!$B$18="Plan bereit",8&lt;=Ziele!$B$5),ROUND(Ziele!$B$4+SUM(B$7:B14)-SUM(C$7:C14)-H82-K14-Ziele!$B$21,2),"")</f>
        <v>0</v>
      </c>
    </row>
    <row r="15" customFormat="false" ht="22.5" hidden="false" customHeight="true" outlineLevel="0" collapsed="false">
      <c r="A15" s="6" t="n">
        <f aca="false">IF(AND(Ziele!$B$18="Plan bereit",9&lt;=Ziele!$B$5),9,"")</f>
        <v>9</v>
      </c>
      <c r="B15" s="7" t="n">
        <f aca="false">IF(AND(Ziele!$B$18="Plan bereit",9&lt;=Ziele!$B$5),Budgets!C18,"")</f>
        <v>500</v>
      </c>
      <c r="C15" s="7" t="n">
        <f aca="false">IF(AND(Ziele!$B$18="Plan bereit",9&lt;=Ziele!$B$5),ROUND(MIN(Budgets!D18,K14+B15),2),"")</f>
        <v>150</v>
      </c>
      <c r="D15" s="7" t="n">
        <f aca="false">IF(AND(Ziele!$B$18="Plan bereit",9&lt;=Ziele!$B$5),ROUND(Budgets!D18-C15,2),"")</f>
        <v>0</v>
      </c>
      <c r="E15" s="7" t="n">
        <f aca="false">IF(AND(Ziele!$B$18="Plan bereit",9&lt;=Ziele!$B$5),ROUND(MAX(0,MIN(MAX(0,ROUND(Ziele!C10-B82,2)),IF(Ziele!E10="",MAX(0,ROUND(Ziele!C10-B82,2)),Ziele!E10),K14+B15-C15-0)),2),"")</f>
        <v>200</v>
      </c>
      <c r="F15" s="7" t="n">
        <f aca="false">IF(AND(Ziele!$B$18="Plan bereit",9&lt;=Ziele!$B$5),ROUND(MAX(0,MIN(MAX(0,ROUND(Ziele!C11-C82,2)),IF(Ziele!E11="",MAX(0,ROUND(Ziele!C11-C82,2)),Ziele!E11),K14+B15-C15-SUM(E15:E15))),2),"")</f>
        <v>150</v>
      </c>
      <c r="G15" s="7" t="n">
        <f aca="false">IF(AND(Ziele!$B$18="Plan bereit",9&lt;=Ziele!$B$5),ROUND(MAX(0,MIN(MAX(0,ROUND(Ziele!C12-D82,2)),IF(Ziele!E12="",MAX(0,ROUND(Ziele!C12-D82,2)),Ziele!E12),K14+B15-C15-SUM(E15:F15))),2),"")</f>
        <v>0</v>
      </c>
      <c r="H15" s="7" t="n">
        <f aca="false">IF(AND(Ziele!$B$18="Plan bereit",9&lt;=Ziele!$B$5),ROUND(MAX(0,MIN(MAX(0,ROUND(Ziele!C13-E82,2)),IF(Ziele!E13="",MAX(0,ROUND(Ziele!C13-E82,2)),Ziele!E13),K14+B15-C15-SUM(E15:G15))),2),"")</f>
        <v>0</v>
      </c>
      <c r="I15" s="7" t="n">
        <f aca="false">IF(AND(Ziele!$B$18="Plan bereit",9&lt;=Ziele!$B$5),ROUND(MAX(0,MIN(MAX(0,ROUND(Ziele!C14-F82,2)),IF(Ziele!E14="",MAX(0,ROUND(Ziele!C14-F82,2)),Ziele!E14),K14+B15-C15-SUM(E15:H15))),2),"")</f>
        <v>0</v>
      </c>
      <c r="J15" s="7" t="n">
        <f aca="false">IF(AND(Ziele!$B$18="Plan bereit",9&lt;=Ziele!$B$5),ROUND(MAX(0,MIN(MAX(0,ROUND(Ziele!C15-G82,2)),IF(Ziele!E15="",MAX(0,ROUND(Ziele!C15-G82,2)),Ziele!E15),K14+B15-C15-SUM(E15:I15))),2),"")</f>
        <v>0</v>
      </c>
      <c r="K15" s="7" t="n">
        <f aca="false">IF(AND(Ziele!$B$18="Plan bereit",9&lt;=Ziele!$B$5),ROUND(K14+B15-C15-SUM(E15:J15),2),"")</f>
        <v>0</v>
      </c>
      <c r="L15" s="7" t="n">
        <f aca="false">IF(AND(Ziele!$B$18="Plan bereit",9&lt;=Ziele!$B$5),ROUND(Ziele!$B$4+SUM(B$7:B15)-SUM(C$7:C15)-H83-K15-Ziele!$B$21,2),"")</f>
        <v>0</v>
      </c>
    </row>
    <row r="16" customFormat="false" ht="22.5" hidden="false" customHeight="true" outlineLevel="0" collapsed="false">
      <c r="A16" s="6" t="n">
        <f aca="false">IF(AND(Ziele!$B$18="Plan bereit",10&lt;=Ziele!$B$5),10,"")</f>
        <v>10</v>
      </c>
      <c r="B16" s="7" t="n">
        <f aca="false">IF(AND(Ziele!$B$18="Plan bereit",10&lt;=Ziele!$B$5),Budgets!C19,"")</f>
        <v>500</v>
      </c>
      <c r="C16" s="7" t="n">
        <f aca="false">IF(AND(Ziele!$B$18="Plan bereit",10&lt;=Ziele!$B$5),ROUND(MIN(Budgets!D19,K15+B16),2),"")</f>
        <v>150</v>
      </c>
      <c r="D16" s="7" t="n">
        <f aca="false">IF(AND(Ziele!$B$18="Plan bereit",10&lt;=Ziele!$B$5),ROUND(Budgets!D19-C16,2),"")</f>
        <v>0</v>
      </c>
      <c r="E16" s="7" t="n">
        <f aca="false">IF(AND(Ziele!$B$18="Plan bereit",10&lt;=Ziele!$B$5),ROUND(MAX(0,MIN(MAX(0,ROUND(Ziele!C10-B83,2)),IF(Ziele!E10="",MAX(0,ROUND(Ziele!C10-B83,2)),Ziele!E10),K15+B16-C16-0)),2),"")</f>
        <v>200</v>
      </c>
      <c r="F16" s="7" t="n">
        <f aca="false">IF(AND(Ziele!$B$18="Plan bereit",10&lt;=Ziele!$B$5),ROUND(MAX(0,MIN(MAX(0,ROUND(Ziele!C11-C83,2)),IF(Ziele!E11="",MAX(0,ROUND(Ziele!C11-C83,2)),Ziele!E11),K15+B16-C16-SUM(E16:E16))),2),"")</f>
        <v>150</v>
      </c>
      <c r="G16" s="7" t="n">
        <f aca="false">IF(AND(Ziele!$B$18="Plan bereit",10&lt;=Ziele!$B$5),ROUND(MAX(0,MIN(MAX(0,ROUND(Ziele!C12-D83,2)),IF(Ziele!E12="",MAX(0,ROUND(Ziele!C12-D83,2)),Ziele!E12),K15+B16-C16-SUM(E16:F16))),2),"")</f>
        <v>0</v>
      </c>
      <c r="H16" s="7" t="n">
        <f aca="false">IF(AND(Ziele!$B$18="Plan bereit",10&lt;=Ziele!$B$5),ROUND(MAX(0,MIN(MAX(0,ROUND(Ziele!C13-E83,2)),IF(Ziele!E13="",MAX(0,ROUND(Ziele!C13-E83,2)),Ziele!E13),K15+B16-C16-SUM(E16:G16))),2),"")</f>
        <v>0</v>
      </c>
      <c r="I16" s="7" t="n">
        <f aca="false">IF(AND(Ziele!$B$18="Plan bereit",10&lt;=Ziele!$B$5),ROUND(MAX(0,MIN(MAX(0,ROUND(Ziele!C14-F83,2)),IF(Ziele!E14="",MAX(0,ROUND(Ziele!C14-F83,2)),Ziele!E14),K15+B16-C16-SUM(E16:H16))),2),"")</f>
        <v>0</v>
      </c>
      <c r="J16" s="7" t="n">
        <f aca="false">IF(AND(Ziele!$B$18="Plan bereit",10&lt;=Ziele!$B$5),ROUND(MAX(0,MIN(MAX(0,ROUND(Ziele!C15-G83,2)),IF(Ziele!E15="",MAX(0,ROUND(Ziele!C15-G83,2)),Ziele!E15),K15+B16-C16-SUM(E16:I16))),2),"")</f>
        <v>0</v>
      </c>
      <c r="K16" s="7" t="n">
        <f aca="false">IF(AND(Ziele!$B$18="Plan bereit",10&lt;=Ziele!$B$5),ROUND(K15+B16-C16-SUM(E16:J16),2),"")</f>
        <v>0</v>
      </c>
      <c r="L16" s="7" t="n">
        <f aca="false">IF(AND(Ziele!$B$18="Plan bereit",10&lt;=Ziele!$B$5),ROUND(Ziele!$B$4+SUM(B$7:B16)-SUM(C$7:C16)-H84-K16-Ziele!$B$21,2),"")</f>
        <v>0</v>
      </c>
    </row>
    <row r="17" customFormat="false" ht="22.5" hidden="false" customHeight="true" outlineLevel="0" collapsed="false">
      <c r="A17" s="6" t="n">
        <f aca="false">IF(AND(Ziele!$B$18="Plan bereit",11&lt;=Ziele!$B$5),11,"")</f>
        <v>11</v>
      </c>
      <c r="B17" s="7" t="n">
        <f aca="false">IF(AND(Ziele!$B$18="Plan bereit",11&lt;=Ziele!$B$5),Budgets!C20,"")</f>
        <v>500</v>
      </c>
      <c r="C17" s="7" t="n">
        <f aca="false">IF(AND(Ziele!$B$18="Plan bereit",11&lt;=Ziele!$B$5),ROUND(MIN(Budgets!D20,K16+B17),2),"")</f>
        <v>150</v>
      </c>
      <c r="D17" s="7" t="n">
        <f aca="false">IF(AND(Ziele!$B$18="Plan bereit",11&lt;=Ziele!$B$5),ROUND(Budgets!D20-C17,2),"")</f>
        <v>0</v>
      </c>
      <c r="E17" s="7" t="n">
        <f aca="false">IF(AND(Ziele!$B$18="Plan bereit",11&lt;=Ziele!$B$5),ROUND(MAX(0,MIN(MAX(0,ROUND(Ziele!C10-B84,2)),IF(Ziele!E10="",MAX(0,ROUND(Ziele!C10-B84,2)),Ziele!E10),K16+B17-C17-0)),2),"")</f>
        <v>0</v>
      </c>
      <c r="F17" s="7" t="n">
        <f aca="false">IF(AND(Ziele!$B$18="Plan bereit",11&lt;=Ziele!$B$5),ROUND(MAX(0,MIN(MAX(0,ROUND(Ziele!C11-C84,2)),IF(Ziele!E11="",MAX(0,ROUND(Ziele!C11-C84,2)),Ziele!E11),K16+B17-C17-SUM(E17:E17))),2),"")</f>
        <v>350</v>
      </c>
      <c r="G17" s="7" t="n">
        <f aca="false">IF(AND(Ziele!$B$18="Plan bereit",11&lt;=Ziele!$B$5),ROUND(MAX(0,MIN(MAX(0,ROUND(Ziele!C12-D84,2)),IF(Ziele!E12="",MAX(0,ROUND(Ziele!C12-D84,2)),Ziele!E12),K16+B17-C17-SUM(E17:F17))),2),"")</f>
        <v>0</v>
      </c>
      <c r="H17" s="7" t="n">
        <f aca="false">IF(AND(Ziele!$B$18="Plan bereit",11&lt;=Ziele!$B$5),ROUND(MAX(0,MIN(MAX(0,ROUND(Ziele!C13-E84,2)),IF(Ziele!E13="",MAX(0,ROUND(Ziele!C13-E84,2)),Ziele!E13),K16+B17-C17-SUM(E17:G17))),2),"")</f>
        <v>0</v>
      </c>
      <c r="I17" s="7" t="n">
        <f aca="false">IF(AND(Ziele!$B$18="Plan bereit",11&lt;=Ziele!$B$5),ROUND(MAX(0,MIN(MAX(0,ROUND(Ziele!C14-F84,2)),IF(Ziele!E14="",MAX(0,ROUND(Ziele!C14-F84,2)),Ziele!E14),K16+B17-C17-SUM(E17:H17))),2),"")</f>
        <v>0</v>
      </c>
      <c r="J17" s="7" t="n">
        <f aca="false">IF(AND(Ziele!$B$18="Plan bereit",11&lt;=Ziele!$B$5),ROUND(MAX(0,MIN(MAX(0,ROUND(Ziele!C15-G84,2)),IF(Ziele!E15="",MAX(0,ROUND(Ziele!C15-G84,2)),Ziele!E15),K16+B17-C17-SUM(E17:I17))),2),"")</f>
        <v>0</v>
      </c>
      <c r="K17" s="7" t="n">
        <f aca="false">IF(AND(Ziele!$B$18="Plan bereit",11&lt;=Ziele!$B$5),ROUND(K16+B17-C17-SUM(E17:J17),2),"")</f>
        <v>0</v>
      </c>
      <c r="L17" s="7" t="n">
        <f aca="false">IF(AND(Ziele!$B$18="Plan bereit",11&lt;=Ziele!$B$5),ROUND(Ziele!$B$4+SUM(B$7:B17)-SUM(C$7:C17)-H85-K17-Ziele!$B$21,2),"")</f>
        <v>0</v>
      </c>
    </row>
    <row r="18" customFormat="false" ht="22.5" hidden="false" customHeight="true" outlineLevel="0" collapsed="false">
      <c r="A18" s="6" t="n">
        <f aca="false">IF(AND(Ziele!$B$18="Plan bereit",12&lt;=Ziele!$B$5),12,"")</f>
        <v>12</v>
      </c>
      <c r="B18" s="7" t="n">
        <f aca="false">IF(AND(Ziele!$B$18="Plan bereit",12&lt;=Ziele!$B$5),Budgets!C21,"")</f>
        <v>500</v>
      </c>
      <c r="C18" s="7" t="n">
        <f aca="false">IF(AND(Ziele!$B$18="Plan bereit",12&lt;=Ziele!$B$5),ROUND(MIN(Budgets!D21,K17+B18),2),"")</f>
        <v>150</v>
      </c>
      <c r="D18" s="7" t="n">
        <f aca="false">IF(AND(Ziele!$B$18="Plan bereit",12&lt;=Ziele!$B$5),ROUND(Budgets!D21-C18,2),"")</f>
        <v>0</v>
      </c>
      <c r="E18" s="7" t="n">
        <f aca="false">IF(AND(Ziele!$B$18="Plan bereit",12&lt;=Ziele!$B$5),ROUND(MAX(0,MIN(MAX(0,ROUND(Ziele!C10-B85,2)),IF(Ziele!E10="",MAX(0,ROUND(Ziele!C10-B85,2)),Ziele!E10),K17+B18-C18-0)),2),"")</f>
        <v>0</v>
      </c>
      <c r="F18" s="7" t="n">
        <f aca="false">IF(AND(Ziele!$B$18="Plan bereit",12&lt;=Ziele!$B$5),ROUND(MAX(0,MIN(MAX(0,ROUND(Ziele!C11-C85,2)),IF(Ziele!E11="",MAX(0,ROUND(Ziele!C11-C85,2)),Ziele!E11),K17+B18-C18-SUM(E18:E18))),2),"")</f>
        <v>350</v>
      </c>
      <c r="G18" s="7" t="n">
        <f aca="false">IF(AND(Ziele!$B$18="Plan bereit",12&lt;=Ziele!$B$5),ROUND(MAX(0,MIN(MAX(0,ROUND(Ziele!C12-D85,2)),IF(Ziele!E12="",MAX(0,ROUND(Ziele!C12-D85,2)),Ziele!E12),K17+B18-C18-SUM(E18:F18))),2),"")</f>
        <v>0</v>
      </c>
      <c r="H18" s="7" t="n">
        <f aca="false">IF(AND(Ziele!$B$18="Plan bereit",12&lt;=Ziele!$B$5),ROUND(MAX(0,MIN(MAX(0,ROUND(Ziele!C13-E85,2)),IF(Ziele!E13="",MAX(0,ROUND(Ziele!C13-E85,2)),Ziele!E13),K17+B18-C18-SUM(E18:G18))),2),"")</f>
        <v>0</v>
      </c>
      <c r="I18" s="7" t="n">
        <f aca="false">IF(AND(Ziele!$B$18="Plan bereit",12&lt;=Ziele!$B$5),ROUND(MAX(0,MIN(MAX(0,ROUND(Ziele!C14-F85,2)),IF(Ziele!E14="",MAX(0,ROUND(Ziele!C14-F85,2)),Ziele!E14),K17+B18-C18-SUM(E18:H18))),2),"")</f>
        <v>0</v>
      </c>
      <c r="J18" s="7" t="n">
        <f aca="false">IF(AND(Ziele!$B$18="Plan bereit",12&lt;=Ziele!$B$5),ROUND(MAX(0,MIN(MAX(0,ROUND(Ziele!C15-G85,2)),IF(Ziele!E15="",MAX(0,ROUND(Ziele!C15-G85,2)),Ziele!E15),K17+B18-C18-SUM(E18:I18))),2),"")</f>
        <v>0</v>
      </c>
      <c r="K18" s="7" t="n">
        <f aca="false">IF(AND(Ziele!$B$18="Plan bereit",12&lt;=Ziele!$B$5),ROUND(K17+B18-C18-SUM(E18:J18),2),"")</f>
        <v>0</v>
      </c>
      <c r="L18" s="7" t="n">
        <f aca="false">IF(AND(Ziele!$B$18="Plan bereit",12&lt;=Ziele!$B$5),ROUND(Ziele!$B$4+SUM(B$7:B18)-SUM(C$7:C18)-H86-K18-Ziele!$B$21,2),"")</f>
        <v>0</v>
      </c>
    </row>
    <row r="19" customFormat="false" ht="22.5" hidden="false" customHeight="true" outlineLevel="0" collapsed="false">
      <c r="A19" s="6" t="n">
        <f aca="false">IF(AND(Ziele!$B$18="Plan bereit",13&lt;=Ziele!$B$5),13,"")</f>
        <v>13</v>
      </c>
      <c r="B19" s="7" t="n">
        <f aca="false">IF(AND(Ziele!$B$18="Plan bereit",13&lt;=Ziele!$B$5),Budgets!C22,"")</f>
        <v>500</v>
      </c>
      <c r="C19" s="7" t="n">
        <f aca="false">IF(AND(Ziele!$B$18="Plan bereit",13&lt;=Ziele!$B$5),ROUND(MIN(Budgets!D22,K18+B19),2),"")</f>
        <v>150</v>
      </c>
      <c r="D19" s="7" t="n">
        <f aca="false">IF(AND(Ziele!$B$18="Plan bereit",13&lt;=Ziele!$B$5),ROUND(Budgets!D22-C19,2),"")</f>
        <v>0</v>
      </c>
      <c r="E19" s="7" t="n">
        <f aca="false">IF(AND(Ziele!$B$18="Plan bereit",13&lt;=Ziele!$B$5),ROUND(MAX(0,MIN(MAX(0,ROUND(Ziele!C10-B86,2)),IF(Ziele!E10="",MAX(0,ROUND(Ziele!C10-B86,2)),Ziele!E10),K18+B19-C19-0)),2),"")</f>
        <v>0</v>
      </c>
      <c r="F19" s="7" t="n">
        <f aca="false">IF(AND(Ziele!$B$18="Plan bereit",13&lt;=Ziele!$B$5),ROUND(MAX(0,MIN(MAX(0,ROUND(Ziele!C11-C86,2)),IF(Ziele!E11="",MAX(0,ROUND(Ziele!C11-C86,2)),Ziele!E11),K18+B19-C19-SUM(E19:E19))),2),"")</f>
        <v>350</v>
      </c>
      <c r="G19" s="7" t="n">
        <f aca="false">IF(AND(Ziele!$B$18="Plan bereit",13&lt;=Ziele!$B$5),ROUND(MAX(0,MIN(MAX(0,ROUND(Ziele!C12-D86,2)),IF(Ziele!E12="",MAX(0,ROUND(Ziele!C12-D86,2)),Ziele!E12),K18+B19-C19-SUM(E19:F19))),2),"")</f>
        <v>0</v>
      </c>
      <c r="H19" s="7" t="n">
        <f aca="false">IF(AND(Ziele!$B$18="Plan bereit",13&lt;=Ziele!$B$5),ROUND(MAX(0,MIN(MAX(0,ROUND(Ziele!C13-E86,2)),IF(Ziele!E13="",MAX(0,ROUND(Ziele!C13-E86,2)),Ziele!E13),K18+B19-C19-SUM(E19:G19))),2),"")</f>
        <v>0</v>
      </c>
      <c r="I19" s="7" t="n">
        <f aca="false">IF(AND(Ziele!$B$18="Plan bereit",13&lt;=Ziele!$B$5),ROUND(MAX(0,MIN(MAX(0,ROUND(Ziele!C14-F86,2)),IF(Ziele!E14="",MAX(0,ROUND(Ziele!C14-F86,2)),Ziele!E14),K18+B19-C19-SUM(E19:H19))),2),"")</f>
        <v>0</v>
      </c>
      <c r="J19" s="7" t="n">
        <f aca="false">IF(AND(Ziele!$B$18="Plan bereit",13&lt;=Ziele!$B$5),ROUND(MAX(0,MIN(MAX(0,ROUND(Ziele!C15-G86,2)),IF(Ziele!E15="",MAX(0,ROUND(Ziele!C15-G86,2)),Ziele!E15),K18+B19-C19-SUM(E19:I19))),2),"")</f>
        <v>0</v>
      </c>
      <c r="K19" s="7" t="n">
        <f aca="false">IF(AND(Ziele!$B$18="Plan bereit",13&lt;=Ziele!$B$5),ROUND(K18+B19-C19-SUM(E19:J19),2),"")</f>
        <v>0</v>
      </c>
      <c r="L19" s="7" t="n">
        <f aca="false">IF(AND(Ziele!$B$18="Plan bereit",13&lt;=Ziele!$B$5),ROUND(Ziele!$B$4+SUM(B$7:B19)-SUM(C$7:C19)-H87-K19-Ziele!$B$21,2),"")</f>
        <v>0</v>
      </c>
    </row>
    <row r="20" customFormat="false" ht="22.5" hidden="false" customHeight="true" outlineLevel="0" collapsed="false">
      <c r="A20" s="6" t="n">
        <f aca="false">IF(AND(Ziele!$B$18="Plan bereit",14&lt;=Ziele!$B$5),14,"")</f>
        <v>14</v>
      </c>
      <c r="B20" s="7" t="n">
        <f aca="false">IF(AND(Ziele!$B$18="Plan bereit",14&lt;=Ziele!$B$5),Budgets!C23,"")</f>
        <v>500</v>
      </c>
      <c r="C20" s="7" t="n">
        <f aca="false">IF(AND(Ziele!$B$18="Plan bereit",14&lt;=Ziele!$B$5),ROUND(MIN(Budgets!D23,K19+B20),2),"")</f>
        <v>150</v>
      </c>
      <c r="D20" s="7" t="n">
        <f aca="false">IF(AND(Ziele!$B$18="Plan bereit",14&lt;=Ziele!$B$5),ROUND(Budgets!D23-C20,2),"")</f>
        <v>0</v>
      </c>
      <c r="E20" s="7" t="n">
        <f aca="false">IF(AND(Ziele!$B$18="Plan bereit",14&lt;=Ziele!$B$5),ROUND(MAX(0,MIN(MAX(0,ROUND(Ziele!C10-B87,2)),IF(Ziele!E10="",MAX(0,ROUND(Ziele!C10-B87,2)),Ziele!E10),K19+B20-C20-0)),2),"")</f>
        <v>0</v>
      </c>
      <c r="F20" s="7" t="n">
        <f aca="false">IF(AND(Ziele!$B$18="Plan bereit",14&lt;=Ziele!$B$5),ROUND(MAX(0,MIN(MAX(0,ROUND(Ziele!C11-C87,2)),IF(Ziele!E11="",MAX(0,ROUND(Ziele!C11-C87,2)),Ziele!E11),K19+B20-C20-SUM(E20:E20))),2),"")</f>
        <v>350</v>
      </c>
      <c r="G20" s="7" t="n">
        <f aca="false">IF(AND(Ziele!$B$18="Plan bereit",14&lt;=Ziele!$B$5),ROUND(MAX(0,MIN(MAX(0,ROUND(Ziele!C12-D87,2)),IF(Ziele!E12="",MAX(0,ROUND(Ziele!C12-D87,2)),Ziele!E12),K19+B20-C20-SUM(E20:F20))),2),"")</f>
        <v>0</v>
      </c>
      <c r="H20" s="7" t="n">
        <f aca="false">IF(AND(Ziele!$B$18="Plan bereit",14&lt;=Ziele!$B$5),ROUND(MAX(0,MIN(MAX(0,ROUND(Ziele!C13-E87,2)),IF(Ziele!E13="",MAX(0,ROUND(Ziele!C13-E87,2)),Ziele!E13),K19+B20-C20-SUM(E20:G20))),2),"")</f>
        <v>0</v>
      </c>
      <c r="I20" s="7" t="n">
        <f aca="false">IF(AND(Ziele!$B$18="Plan bereit",14&lt;=Ziele!$B$5),ROUND(MAX(0,MIN(MAX(0,ROUND(Ziele!C14-F87,2)),IF(Ziele!E14="",MAX(0,ROUND(Ziele!C14-F87,2)),Ziele!E14),K19+B20-C20-SUM(E20:H20))),2),"")</f>
        <v>0</v>
      </c>
      <c r="J20" s="7" t="n">
        <f aca="false">IF(AND(Ziele!$B$18="Plan bereit",14&lt;=Ziele!$B$5),ROUND(MAX(0,MIN(MAX(0,ROUND(Ziele!C15-G87,2)),IF(Ziele!E15="",MAX(0,ROUND(Ziele!C15-G87,2)),Ziele!E15),K19+B20-C20-SUM(E20:I20))),2),"")</f>
        <v>0</v>
      </c>
      <c r="K20" s="7" t="n">
        <f aca="false">IF(AND(Ziele!$B$18="Plan bereit",14&lt;=Ziele!$B$5),ROUND(K19+B20-C20-SUM(E20:J20),2),"")</f>
        <v>0</v>
      </c>
      <c r="L20" s="7" t="n">
        <f aca="false">IF(AND(Ziele!$B$18="Plan bereit",14&lt;=Ziele!$B$5),ROUND(Ziele!$B$4+SUM(B$7:B20)-SUM(C$7:C20)-H88-K20-Ziele!$B$21,2),"")</f>
        <v>0</v>
      </c>
    </row>
    <row r="21" customFormat="false" ht="22.5" hidden="false" customHeight="true" outlineLevel="0" collapsed="false">
      <c r="A21" s="6" t="n">
        <f aca="false">IF(AND(Ziele!$B$18="Plan bereit",15&lt;=Ziele!$B$5),15,"")</f>
        <v>15</v>
      </c>
      <c r="B21" s="7" t="n">
        <f aca="false">IF(AND(Ziele!$B$18="Plan bereit",15&lt;=Ziele!$B$5),Budgets!C24,"")</f>
        <v>500</v>
      </c>
      <c r="C21" s="7" t="n">
        <f aca="false">IF(AND(Ziele!$B$18="Plan bereit",15&lt;=Ziele!$B$5),ROUND(MIN(Budgets!D24,K20+B21),2),"")</f>
        <v>150</v>
      </c>
      <c r="D21" s="7" t="n">
        <f aca="false">IF(AND(Ziele!$B$18="Plan bereit",15&lt;=Ziele!$B$5),ROUND(Budgets!D24-C21,2),"")</f>
        <v>0</v>
      </c>
      <c r="E21" s="7" t="n">
        <f aca="false">IF(AND(Ziele!$B$18="Plan bereit",15&lt;=Ziele!$B$5),ROUND(MAX(0,MIN(MAX(0,ROUND(Ziele!C10-B88,2)),IF(Ziele!E10="",MAX(0,ROUND(Ziele!C10-B88,2)),Ziele!E10),K20+B21-C21-0)),2),"")</f>
        <v>0</v>
      </c>
      <c r="F21" s="7" t="n">
        <f aca="false">IF(AND(Ziele!$B$18="Plan bereit",15&lt;=Ziele!$B$5),ROUND(MAX(0,MIN(MAX(0,ROUND(Ziele!C11-C88,2)),IF(Ziele!E11="",MAX(0,ROUND(Ziele!C11-C88,2)),Ziele!E11),K20+B21-C21-SUM(E21:E21))),2),"")</f>
        <v>350</v>
      </c>
      <c r="G21" s="7" t="n">
        <f aca="false">IF(AND(Ziele!$B$18="Plan bereit",15&lt;=Ziele!$B$5),ROUND(MAX(0,MIN(MAX(0,ROUND(Ziele!C12-D88,2)),IF(Ziele!E12="",MAX(0,ROUND(Ziele!C12-D88,2)),Ziele!E12),K20+B21-C21-SUM(E21:F21))),2),"")</f>
        <v>0</v>
      </c>
      <c r="H21" s="7" t="n">
        <f aca="false">IF(AND(Ziele!$B$18="Plan bereit",15&lt;=Ziele!$B$5),ROUND(MAX(0,MIN(MAX(0,ROUND(Ziele!C13-E88,2)),IF(Ziele!E13="",MAX(0,ROUND(Ziele!C13-E88,2)),Ziele!E13),K20+B21-C21-SUM(E21:G21))),2),"")</f>
        <v>0</v>
      </c>
      <c r="I21" s="7" t="n">
        <f aca="false">IF(AND(Ziele!$B$18="Plan bereit",15&lt;=Ziele!$B$5),ROUND(MAX(0,MIN(MAX(0,ROUND(Ziele!C14-F88,2)),IF(Ziele!E14="",MAX(0,ROUND(Ziele!C14-F88,2)),Ziele!E14),K20+B21-C21-SUM(E21:H21))),2),"")</f>
        <v>0</v>
      </c>
      <c r="J21" s="7" t="n">
        <f aca="false">IF(AND(Ziele!$B$18="Plan bereit",15&lt;=Ziele!$B$5),ROUND(MAX(0,MIN(MAX(0,ROUND(Ziele!C15-G88,2)),IF(Ziele!E15="",MAX(0,ROUND(Ziele!C15-G88,2)),Ziele!E15),K20+B21-C21-SUM(E21:I21))),2),"")</f>
        <v>0</v>
      </c>
      <c r="K21" s="7" t="n">
        <f aca="false">IF(AND(Ziele!$B$18="Plan bereit",15&lt;=Ziele!$B$5),ROUND(K20+B21-C21-SUM(E21:J21),2),"")</f>
        <v>0</v>
      </c>
      <c r="L21" s="7" t="n">
        <f aca="false">IF(AND(Ziele!$B$18="Plan bereit",15&lt;=Ziele!$B$5),ROUND(Ziele!$B$4+SUM(B$7:B21)-SUM(C$7:C21)-H89-K21-Ziele!$B$21,2),"")</f>
        <v>0</v>
      </c>
    </row>
    <row r="22" customFormat="false" ht="22.5" hidden="false" customHeight="true" outlineLevel="0" collapsed="false">
      <c r="A22" s="6" t="n">
        <f aca="false">IF(AND(Ziele!$B$18="Plan bereit",16&lt;=Ziele!$B$5),16,"")</f>
        <v>16</v>
      </c>
      <c r="B22" s="7" t="n">
        <f aca="false">IF(AND(Ziele!$B$18="Plan bereit",16&lt;=Ziele!$B$5),Budgets!C25,"")</f>
        <v>500</v>
      </c>
      <c r="C22" s="7" t="n">
        <f aca="false">IF(AND(Ziele!$B$18="Plan bereit",16&lt;=Ziele!$B$5),ROUND(MIN(Budgets!D25,K21+B22),2),"")</f>
        <v>150</v>
      </c>
      <c r="D22" s="7" t="n">
        <f aca="false">IF(AND(Ziele!$B$18="Plan bereit",16&lt;=Ziele!$B$5),ROUND(Budgets!D25-C22,2),"")</f>
        <v>0</v>
      </c>
      <c r="E22" s="7" t="n">
        <f aca="false">IF(AND(Ziele!$B$18="Plan bereit",16&lt;=Ziele!$B$5),ROUND(MAX(0,MIN(MAX(0,ROUND(Ziele!C10-B89,2)),IF(Ziele!E10="",MAX(0,ROUND(Ziele!C10-B89,2)),Ziele!E10),K21+B22-C22-0)),2),"")</f>
        <v>0</v>
      </c>
      <c r="F22" s="7" t="n">
        <f aca="false">IF(AND(Ziele!$B$18="Plan bereit",16&lt;=Ziele!$B$5),ROUND(MAX(0,MIN(MAX(0,ROUND(Ziele!C11-C89,2)),IF(Ziele!E11="",MAX(0,ROUND(Ziele!C11-C89,2)),Ziele!E11),K21+B22-C22-SUM(E22:E22))),2),"")</f>
        <v>350</v>
      </c>
      <c r="G22" s="7" t="n">
        <f aca="false">IF(AND(Ziele!$B$18="Plan bereit",16&lt;=Ziele!$B$5),ROUND(MAX(0,MIN(MAX(0,ROUND(Ziele!C12-D89,2)),IF(Ziele!E12="",MAX(0,ROUND(Ziele!C12-D89,2)),Ziele!E12),K21+B22-C22-SUM(E22:F22))),2),"")</f>
        <v>0</v>
      </c>
      <c r="H22" s="7" t="n">
        <f aca="false">IF(AND(Ziele!$B$18="Plan bereit",16&lt;=Ziele!$B$5),ROUND(MAX(0,MIN(MAX(0,ROUND(Ziele!C13-E89,2)),IF(Ziele!E13="",MAX(0,ROUND(Ziele!C13-E89,2)),Ziele!E13),K21+B22-C22-SUM(E22:G22))),2),"")</f>
        <v>0</v>
      </c>
      <c r="I22" s="7" t="n">
        <f aca="false">IF(AND(Ziele!$B$18="Plan bereit",16&lt;=Ziele!$B$5),ROUND(MAX(0,MIN(MAX(0,ROUND(Ziele!C14-F89,2)),IF(Ziele!E14="",MAX(0,ROUND(Ziele!C14-F89,2)),Ziele!E14),K21+B22-C22-SUM(E22:H22))),2),"")</f>
        <v>0</v>
      </c>
      <c r="J22" s="7" t="n">
        <f aca="false">IF(AND(Ziele!$B$18="Plan bereit",16&lt;=Ziele!$B$5),ROUND(MAX(0,MIN(MAX(0,ROUND(Ziele!C15-G89,2)),IF(Ziele!E15="",MAX(0,ROUND(Ziele!C15-G89,2)),Ziele!E15),K21+B22-C22-SUM(E22:I22))),2),"")</f>
        <v>0</v>
      </c>
      <c r="K22" s="7" t="n">
        <f aca="false">IF(AND(Ziele!$B$18="Plan bereit",16&lt;=Ziele!$B$5),ROUND(K21+B22-C22-SUM(E22:J22),2),"")</f>
        <v>0</v>
      </c>
      <c r="L22" s="7" t="n">
        <f aca="false">IF(AND(Ziele!$B$18="Plan bereit",16&lt;=Ziele!$B$5),ROUND(Ziele!$B$4+SUM(B$7:B22)-SUM(C$7:C22)-H90-K22-Ziele!$B$21,2),"")</f>
        <v>0</v>
      </c>
    </row>
    <row r="23" customFormat="false" ht="22.5" hidden="false" customHeight="true" outlineLevel="0" collapsed="false">
      <c r="A23" s="6" t="n">
        <f aca="false">IF(AND(Ziele!$B$18="Plan bereit",17&lt;=Ziele!$B$5),17,"")</f>
        <v>17</v>
      </c>
      <c r="B23" s="7" t="n">
        <f aca="false">IF(AND(Ziele!$B$18="Plan bereit",17&lt;=Ziele!$B$5),Budgets!C26,"")</f>
        <v>500</v>
      </c>
      <c r="C23" s="7" t="n">
        <f aca="false">IF(AND(Ziele!$B$18="Plan bereit",17&lt;=Ziele!$B$5),ROUND(MIN(Budgets!D26,K22+B23),2),"")</f>
        <v>150</v>
      </c>
      <c r="D23" s="7" t="n">
        <f aca="false">IF(AND(Ziele!$B$18="Plan bereit",17&lt;=Ziele!$B$5),ROUND(Budgets!D26-C23,2),"")</f>
        <v>0</v>
      </c>
      <c r="E23" s="7" t="n">
        <f aca="false">IF(AND(Ziele!$B$18="Plan bereit",17&lt;=Ziele!$B$5),ROUND(MAX(0,MIN(MAX(0,ROUND(Ziele!C10-B90,2)),IF(Ziele!E10="",MAX(0,ROUND(Ziele!C10-B90,2)),Ziele!E10),K22+B23-C23-0)),2),"")</f>
        <v>0</v>
      </c>
      <c r="F23" s="7" t="n">
        <f aca="false">IF(AND(Ziele!$B$18="Plan bereit",17&lt;=Ziele!$B$5),ROUND(MAX(0,MIN(MAX(0,ROUND(Ziele!C11-C90,2)),IF(Ziele!E11="",MAX(0,ROUND(Ziele!C11-C90,2)),Ziele!E11),K22+B23-C23-SUM(E23:E23))),2),"")</f>
        <v>350</v>
      </c>
      <c r="G23" s="7" t="n">
        <f aca="false">IF(AND(Ziele!$B$18="Plan bereit",17&lt;=Ziele!$B$5),ROUND(MAX(0,MIN(MAX(0,ROUND(Ziele!C12-D90,2)),IF(Ziele!E12="",MAX(0,ROUND(Ziele!C12-D90,2)),Ziele!E12),K22+B23-C23-SUM(E23:F23))),2),"")</f>
        <v>0</v>
      </c>
      <c r="H23" s="7" t="n">
        <f aca="false">IF(AND(Ziele!$B$18="Plan bereit",17&lt;=Ziele!$B$5),ROUND(MAX(0,MIN(MAX(0,ROUND(Ziele!C13-E90,2)),IF(Ziele!E13="",MAX(0,ROUND(Ziele!C13-E90,2)),Ziele!E13),K22+B23-C23-SUM(E23:G23))),2),"")</f>
        <v>0</v>
      </c>
      <c r="I23" s="7" t="n">
        <f aca="false">IF(AND(Ziele!$B$18="Plan bereit",17&lt;=Ziele!$B$5),ROUND(MAX(0,MIN(MAX(0,ROUND(Ziele!C14-F90,2)),IF(Ziele!E14="",MAX(0,ROUND(Ziele!C14-F90,2)),Ziele!E14),K22+B23-C23-SUM(E23:H23))),2),"")</f>
        <v>0</v>
      </c>
      <c r="J23" s="7" t="n">
        <f aca="false">IF(AND(Ziele!$B$18="Plan bereit",17&lt;=Ziele!$B$5),ROUND(MAX(0,MIN(MAX(0,ROUND(Ziele!C15-G90,2)),IF(Ziele!E15="",MAX(0,ROUND(Ziele!C15-G90,2)),Ziele!E15),K22+B23-C23-SUM(E23:I23))),2),"")</f>
        <v>0</v>
      </c>
      <c r="K23" s="7" t="n">
        <f aca="false">IF(AND(Ziele!$B$18="Plan bereit",17&lt;=Ziele!$B$5),ROUND(K22+B23-C23-SUM(E23:J23),2),"")</f>
        <v>0</v>
      </c>
      <c r="L23" s="7" t="n">
        <f aca="false">IF(AND(Ziele!$B$18="Plan bereit",17&lt;=Ziele!$B$5),ROUND(Ziele!$B$4+SUM(B$7:B23)-SUM(C$7:C23)-H91-K23-Ziele!$B$21,2),"")</f>
        <v>0</v>
      </c>
    </row>
    <row r="24" customFormat="false" ht="22.5" hidden="false" customHeight="true" outlineLevel="0" collapsed="false">
      <c r="A24" s="6" t="n">
        <f aca="false">IF(AND(Ziele!$B$18="Plan bereit",18&lt;=Ziele!$B$5),18,"")</f>
        <v>18</v>
      </c>
      <c r="B24" s="7" t="n">
        <f aca="false">IF(AND(Ziele!$B$18="Plan bereit",18&lt;=Ziele!$B$5),Budgets!C27,"")</f>
        <v>500</v>
      </c>
      <c r="C24" s="7" t="n">
        <f aca="false">IF(AND(Ziele!$B$18="Plan bereit",18&lt;=Ziele!$B$5),ROUND(MIN(Budgets!D27,K23+B24),2),"")</f>
        <v>150</v>
      </c>
      <c r="D24" s="7" t="n">
        <f aca="false">IF(AND(Ziele!$B$18="Plan bereit",18&lt;=Ziele!$B$5),ROUND(Budgets!D27-C24,2),"")</f>
        <v>0</v>
      </c>
      <c r="E24" s="7" t="n">
        <f aca="false">IF(AND(Ziele!$B$18="Plan bereit",18&lt;=Ziele!$B$5),ROUND(MAX(0,MIN(MAX(0,ROUND(Ziele!C10-B91,2)),IF(Ziele!E10="",MAX(0,ROUND(Ziele!C10-B91,2)),Ziele!E10),K23+B24-C24-0)),2),"")</f>
        <v>0</v>
      </c>
      <c r="F24" s="7" t="n">
        <f aca="false">IF(AND(Ziele!$B$18="Plan bereit",18&lt;=Ziele!$B$5),ROUND(MAX(0,MIN(MAX(0,ROUND(Ziele!C11-C91,2)),IF(Ziele!E11="",MAX(0,ROUND(Ziele!C11-C91,2)),Ziele!E11),K23+B24-C24-SUM(E24:E24))),2),"")</f>
        <v>350</v>
      </c>
      <c r="G24" s="7" t="n">
        <f aca="false">IF(AND(Ziele!$B$18="Plan bereit",18&lt;=Ziele!$B$5),ROUND(MAX(0,MIN(MAX(0,ROUND(Ziele!C12-D91,2)),IF(Ziele!E12="",MAX(0,ROUND(Ziele!C12-D91,2)),Ziele!E12),K23+B24-C24-SUM(E24:F24))),2),"")</f>
        <v>0</v>
      </c>
      <c r="H24" s="7" t="n">
        <f aca="false">IF(AND(Ziele!$B$18="Plan bereit",18&lt;=Ziele!$B$5),ROUND(MAX(0,MIN(MAX(0,ROUND(Ziele!C13-E91,2)),IF(Ziele!E13="",MAX(0,ROUND(Ziele!C13-E91,2)),Ziele!E13),K23+B24-C24-SUM(E24:G24))),2),"")</f>
        <v>0</v>
      </c>
      <c r="I24" s="7" t="n">
        <f aca="false">IF(AND(Ziele!$B$18="Plan bereit",18&lt;=Ziele!$B$5),ROUND(MAX(0,MIN(MAX(0,ROUND(Ziele!C14-F91,2)),IF(Ziele!E14="",MAX(0,ROUND(Ziele!C14-F91,2)),Ziele!E14),K23+B24-C24-SUM(E24:H24))),2),"")</f>
        <v>0</v>
      </c>
      <c r="J24" s="7" t="n">
        <f aca="false">IF(AND(Ziele!$B$18="Plan bereit",18&lt;=Ziele!$B$5),ROUND(MAX(0,MIN(MAX(0,ROUND(Ziele!C15-G91,2)),IF(Ziele!E15="",MAX(0,ROUND(Ziele!C15-G91,2)),Ziele!E15),K23+B24-C24-SUM(E24:I24))),2),"")</f>
        <v>0</v>
      </c>
      <c r="K24" s="7" t="n">
        <f aca="false">IF(AND(Ziele!$B$18="Plan bereit",18&lt;=Ziele!$B$5),ROUND(K23+B24-C24-SUM(E24:J24),2),"")</f>
        <v>0</v>
      </c>
      <c r="L24" s="7" t="n">
        <f aca="false">IF(AND(Ziele!$B$18="Plan bereit",18&lt;=Ziele!$B$5),ROUND(Ziele!$B$4+SUM(B$7:B24)-SUM(C$7:C24)-H92-K24-Ziele!$B$21,2),"")</f>
        <v>0</v>
      </c>
    </row>
    <row r="25" customFormat="false" ht="22.5" hidden="false" customHeight="true" outlineLevel="0" collapsed="false">
      <c r="A25" s="6" t="n">
        <f aca="false">IF(AND(Ziele!$B$18="Plan bereit",19&lt;=Ziele!$B$5),19,"")</f>
        <v>19</v>
      </c>
      <c r="B25" s="7" t="n">
        <f aca="false">IF(AND(Ziele!$B$18="Plan bereit",19&lt;=Ziele!$B$5),Budgets!C28,"")</f>
        <v>500</v>
      </c>
      <c r="C25" s="7" t="n">
        <f aca="false">IF(AND(Ziele!$B$18="Plan bereit",19&lt;=Ziele!$B$5),ROUND(MIN(Budgets!D28,K24+B25),2),"")</f>
        <v>150</v>
      </c>
      <c r="D25" s="7" t="n">
        <f aca="false">IF(AND(Ziele!$B$18="Plan bereit",19&lt;=Ziele!$B$5),ROUND(Budgets!D28-C25,2),"")</f>
        <v>0</v>
      </c>
      <c r="E25" s="7" t="n">
        <f aca="false">IF(AND(Ziele!$B$18="Plan bereit",19&lt;=Ziele!$B$5),ROUND(MAX(0,MIN(MAX(0,ROUND(Ziele!C10-B92,2)),IF(Ziele!E10="",MAX(0,ROUND(Ziele!C10-B92,2)),Ziele!E10),K24+B25-C25-0)),2),"")</f>
        <v>0</v>
      </c>
      <c r="F25" s="7" t="n">
        <f aca="false">IF(AND(Ziele!$B$18="Plan bereit",19&lt;=Ziele!$B$5),ROUND(MAX(0,MIN(MAX(0,ROUND(Ziele!C11-C92,2)),IF(Ziele!E11="",MAX(0,ROUND(Ziele!C11-C92,2)),Ziele!E11),K24+B25-C25-SUM(E25:E25))),2),"")</f>
        <v>350</v>
      </c>
      <c r="G25" s="7" t="n">
        <f aca="false">IF(AND(Ziele!$B$18="Plan bereit",19&lt;=Ziele!$B$5),ROUND(MAX(0,MIN(MAX(0,ROUND(Ziele!C12-D92,2)),IF(Ziele!E12="",MAX(0,ROUND(Ziele!C12-D92,2)),Ziele!E12),K24+B25-C25-SUM(E25:F25))),2),"")</f>
        <v>0</v>
      </c>
      <c r="H25" s="7" t="n">
        <f aca="false">IF(AND(Ziele!$B$18="Plan bereit",19&lt;=Ziele!$B$5),ROUND(MAX(0,MIN(MAX(0,ROUND(Ziele!C13-E92,2)),IF(Ziele!E13="",MAX(0,ROUND(Ziele!C13-E92,2)),Ziele!E13),K24+B25-C25-SUM(E25:G25))),2),"")</f>
        <v>0</v>
      </c>
      <c r="I25" s="7" t="n">
        <f aca="false">IF(AND(Ziele!$B$18="Plan bereit",19&lt;=Ziele!$B$5),ROUND(MAX(0,MIN(MAX(0,ROUND(Ziele!C14-F92,2)),IF(Ziele!E14="",MAX(0,ROUND(Ziele!C14-F92,2)),Ziele!E14),K24+B25-C25-SUM(E25:H25))),2),"")</f>
        <v>0</v>
      </c>
      <c r="J25" s="7" t="n">
        <f aca="false">IF(AND(Ziele!$B$18="Plan bereit",19&lt;=Ziele!$B$5),ROUND(MAX(0,MIN(MAX(0,ROUND(Ziele!C15-G92,2)),IF(Ziele!E15="",MAX(0,ROUND(Ziele!C15-G92,2)),Ziele!E15),K24+B25-C25-SUM(E25:I25))),2),"")</f>
        <v>0</v>
      </c>
      <c r="K25" s="7" t="n">
        <f aca="false">IF(AND(Ziele!$B$18="Plan bereit",19&lt;=Ziele!$B$5),ROUND(K24+B25-C25-SUM(E25:J25),2),"")</f>
        <v>0</v>
      </c>
      <c r="L25" s="7" t="n">
        <f aca="false">IF(AND(Ziele!$B$18="Plan bereit",19&lt;=Ziele!$B$5),ROUND(Ziele!$B$4+SUM(B$7:B25)-SUM(C$7:C25)-H93-K25-Ziele!$B$21,2),"")</f>
        <v>0</v>
      </c>
    </row>
    <row r="26" customFormat="false" ht="22.5" hidden="false" customHeight="true" outlineLevel="0" collapsed="false">
      <c r="A26" s="6" t="n">
        <f aca="false">IF(AND(Ziele!$B$18="Plan bereit",20&lt;=Ziele!$B$5),20,"")</f>
        <v>20</v>
      </c>
      <c r="B26" s="7" t="n">
        <f aca="false">IF(AND(Ziele!$B$18="Plan bereit",20&lt;=Ziele!$B$5),Budgets!C29,"")</f>
        <v>500</v>
      </c>
      <c r="C26" s="7" t="n">
        <f aca="false">IF(AND(Ziele!$B$18="Plan bereit",20&lt;=Ziele!$B$5),ROUND(MIN(Budgets!D29,K25+B26),2),"")</f>
        <v>150</v>
      </c>
      <c r="D26" s="7" t="n">
        <f aca="false">IF(AND(Ziele!$B$18="Plan bereit",20&lt;=Ziele!$B$5),ROUND(Budgets!D29-C26,2),"")</f>
        <v>0</v>
      </c>
      <c r="E26" s="7" t="n">
        <f aca="false">IF(AND(Ziele!$B$18="Plan bereit",20&lt;=Ziele!$B$5),ROUND(MAX(0,MIN(MAX(0,ROUND(Ziele!C10-B93,2)),IF(Ziele!E10="",MAX(0,ROUND(Ziele!C10-B93,2)),Ziele!E10),K25+B26-C26-0)),2),"")</f>
        <v>0</v>
      </c>
      <c r="F26" s="7" t="n">
        <f aca="false">IF(AND(Ziele!$B$18="Plan bereit",20&lt;=Ziele!$B$5),ROUND(MAX(0,MIN(MAX(0,ROUND(Ziele!C11-C93,2)),IF(Ziele!E11="",MAX(0,ROUND(Ziele!C11-C93,2)),Ziele!E11),K25+B26-C26-SUM(E26:E26))),2),"")</f>
        <v>350</v>
      </c>
      <c r="G26" s="7" t="n">
        <f aca="false">IF(AND(Ziele!$B$18="Plan bereit",20&lt;=Ziele!$B$5),ROUND(MAX(0,MIN(MAX(0,ROUND(Ziele!C12-D93,2)),IF(Ziele!E12="",MAX(0,ROUND(Ziele!C12-D93,2)),Ziele!E12),K25+B26-C26-SUM(E26:F26))),2),"")</f>
        <v>0</v>
      </c>
      <c r="H26" s="7" t="n">
        <f aca="false">IF(AND(Ziele!$B$18="Plan bereit",20&lt;=Ziele!$B$5),ROUND(MAX(0,MIN(MAX(0,ROUND(Ziele!C13-E93,2)),IF(Ziele!E13="",MAX(0,ROUND(Ziele!C13-E93,2)),Ziele!E13),K25+B26-C26-SUM(E26:G26))),2),"")</f>
        <v>0</v>
      </c>
      <c r="I26" s="7" t="n">
        <f aca="false">IF(AND(Ziele!$B$18="Plan bereit",20&lt;=Ziele!$B$5),ROUND(MAX(0,MIN(MAX(0,ROUND(Ziele!C14-F93,2)),IF(Ziele!E14="",MAX(0,ROUND(Ziele!C14-F93,2)),Ziele!E14),K25+B26-C26-SUM(E26:H26))),2),"")</f>
        <v>0</v>
      </c>
      <c r="J26" s="7" t="n">
        <f aca="false">IF(AND(Ziele!$B$18="Plan bereit",20&lt;=Ziele!$B$5),ROUND(MAX(0,MIN(MAX(0,ROUND(Ziele!C15-G93,2)),IF(Ziele!E15="",MAX(0,ROUND(Ziele!C15-G93,2)),Ziele!E15),K25+B26-C26-SUM(E26:I26))),2),"")</f>
        <v>0</v>
      </c>
      <c r="K26" s="7" t="n">
        <f aca="false">IF(AND(Ziele!$B$18="Plan bereit",20&lt;=Ziele!$B$5),ROUND(K25+B26-C26-SUM(E26:J26),2),"")</f>
        <v>0</v>
      </c>
      <c r="L26" s="7" t="n">
        <f aca="false">IF(AND(Ziele!$B$18="Plan bereit",20&lt;=Ziele!$B$5),ROUND(Ziele!$B$4+SUM(B$7:B26)-SUM(C$7:C26)-H94-K26-Ziele!$B$21,2),"")</f>
        <v>0</v>
      </c>
    </row>
    <row r="27" customFormat="false" ht="22.5" hidden="false" customHeight="true" outlineLevel="0" collapsed="false">
      <c r="A27" s="6" t="n">
        <f aca="false">IF(AND(Ziele!$B$18="Plan bereit",21&lt;=Ziele!$B$5),21,"")</f>
        <v>21</v>
      </c>
      <c r="B27" s="7" t="n">
        <f aca="false">IF(AND(Ziele!$B$18="Plan bereit",21&lt;=Ziele!$B$5),Budgets!C30,"")</f>
        <v>500</v>
      </c>
      <c r="C27" s="7" t="n">
        <f aca="false">IF(AND(Ziele!$B$18="Plan bereit",21&lt;=Ziele!$B$5),ROUND(MIN(Budgets!D30,K26+B27),2),"")</f>
        <v>150</v>
      </c>
      <c r="D27" s="7" t="n">
        <f aca="false">IF(AND(Ziele!$B$18="Plan bereit",21&lt;=Ziele!$B$5),ROUND(Budgets!D30-C27,2),"")</f>
        <v>0</v>
      </c>
      <c r="E27" s="7" t="n">
        <f aca="false">IF(AND(Ziele!$B$18="Plan bereit",21&lt;=Ziele!$B$5),ROUND(MAX(0,MIN(MAX(0,ROUND(Ziele!C10-B94,2)),IF(Ziele!E10="",MAX(0,ROUND(Ziele!C10-B94,2)),Ziele!E10),K26+B27-C27-0)),2),"")</f>
        <v>0</v>
      </c>
      <c r="F27" s="7" t="n">
        <f aca="false">IF(AND(Ziele!$B$18="Plan bereit",21&lt;=Ziele!$B$5),ROUND(MAX(0,MIN(MAX(0,ROUND(Ziele!C11-C94,2)),IF(Ziele!E11="",MAX(0,ROUND(Ziele!C11-C94,2)),Ziele!E11),K26+B27-C27-SUM(E27:E27))),2),"")</f>
        <v>350</v>
      </c>
      <c r="G27" s="7" t="n">
        <f aca="false">IF(AND(Ziele!$B$18="Plan bereit",21&lt;=Ziele!$B$5),ROUND(MAX(0,MIN(MAX(0,ROUND(Ziele!C12-D94,2)),IF(Ziele!E12="",MAX(0,ROUND(Ziele!C12-D94,2)),Ziele!E12),K26+B27-C27-SUM(E27:F27))),2),"")</f>
        <v>0</v>
      </c>
      <c r="H27" s="7" t="n">
        <f aca="false">IF(AND(Ziele!$B$18="Plan bereit",21&lt;=Ziele!$B$5),ROUND(MAX(0,MIN(MAX(0,ROUND(Ziele!C13-E94,2)),IF(Ziele!E13="",MAX(0,ROUND(Ziele!C13-E94,2)),Ziele!E13),K26+B27-C27-SUM(E27:G27))),2),"")</f>
        <v>0</v>
      </c>
      <c r="I27" s="7" t="n">
        <f aca="false">IF(AND(Ziele!$B$18="Plan bereit",21&lt;=Ziele!$B$5),ROUND(MAX(0,MIN(MAX(0,ROUND(Ziele!C14-F94,2)),IF(Ziele!E14="",MAX(0,ROUND(Ziele!C14-F94,2)),Ziele!E14),K26+B27-C27-SUM(E27:H27))),2),"")</f>
        <v>0</v>
      </c>
      <c r="J27" s="7" t="n">
        <f aca="false">IF(AND(Ziele!$B$18="Plan bereit",21&lt;=Ziele!$B$5),ROUND(MAX(0,MIN(MAX(0,ROUND(Ziele!C15-G94,2)),IF(Ziele!E15="",MAX(0,ROUND(Ziele!C15-G94,2)),Ziele!E15),K26+B27-C27-SUM(E27:I27))),2),"")</f>
        <v>0</v>
      </c>
      <c r="K27" s="7" t="n">
        <f aca="false">IF(AND(Ziele!$B$18="Plan bereit",21&lt;=Ziele!$B$5),ROUND(K26+B27-C27-SUM(E27:J27),2),"")</f>
        <v>0</v>
      </c>
      <c r="L27" s="7" t="n">
        <f aca="false">IF(AND(Ziele!$B$18="Plan bereit",21&lt;=Ziele!$B$5),ROUND(Ziele!$B$4+SUM(B$7:B27)-SUM(C$7:C27)-H95-K27-Ziele!$B$21,2),"")</f>
        <v>0</v>
      </c>
    </row>
    <row r="28" customFormat="false" ht="22.5" hidden="false" customHeight="true" outlineLevel="0" collapsed="false">
      <c r="A28" s="6" t="n">
        <f aca="false">IF(AND(Ziele!$B$18="Plan bereit",22&lt;=Ziele!$B$5),22,"")</f>
        <v>22</v>
      </c>
      <c r="B28" s="7" t="n">
        <f aca="false">IF(AND(Ziele!$B$18="Plan bereit",22&lt;=Ziele!$B$5),Budgets!C31,"")</f>
        <v>500</v>
      </c>
      <c r="C28" s="7" t="n">
        <f aca="false">IF(AND(Ziele!$B$18="Plan bereit",22&lt;=Ziele!$B$5),ROUND(MIN(Budgets!D31,K27+B28),2),"")</f>
        <v>150</v>
      </c>
      <c r="D28" s="7" t="n">
        <f aca="false">IF(AND(Ziele!$B$18="Plan bereit",22&lt;=Ziele!$B$5),ROUND(Budgets!D31-C28,2),"")</f>
        <v>0</v>
      </c>
      <c r="E28" s="7" t="n">
        <f aca="false">IF(AND(Ziele!$B$18="Plan bereit",22&lt;=Ziele!$B$5),ROUND(MAX(0,MIN(MAX(0,ROUND(Ziele!C10-B95,2)),IF(Ziele!E10="",MAX(0,ROUND(Ziele!C10-B95,2)),Ziele!E10),K27+B28-C28-0)),2),"")</f>
        <v>0</v>
      </c>
      <c r="F28" s="7" t="n">
        <f aca="false">IF(AND(Ziele!$B$18="Plan bereit",22&lt;=Ziele!$B$5),ROUND(MAX(0,MIN(MAX(0,ROUND(Ziele!C11-C95,2)),IF(Ziele!E11="",MAX(0,ROUND(Ziele!C11-C95,2)),Ziele!E11),K27+B28-C28-SUM(E28:E28))),2),"")</f>
        <v>350</v>
      </c>
      <c r="G28" s="7" t="n">
        <f aca="false">IF(AND(Ziele!$B$18="Plan bereit",22&lt;=Ziele!$B$5),ROUND(MAX(0,MIN(MAX(0,ROUND(Ziele!C12-D95,2)),IF(Ziele!E12="",MAX(0,ROUND(Ziele!C12-D95,2)),Ziele!E12),K27+B28-C28-SUM(E28:F28))),2),"")</f>
        <v>0</v>
      </c>
      <c r="H28" s="7" t="n">
        <f aca="false">IF(AND(Ziele!$B$18="Plan bereit",22&lt;=Ziele!$B$5),ROUND(MAX(0,MIN(MAX(0,ROUND(Ziele!C13-E95,2)),IF(Ziele!E13="",MAX(0,ROUND(Ziele!C13-E95,2)),Ziele!E13),K27+B28-C28-SUM(E28:G28))),2),"")</f>
        <v>0</v>
      </c>
      <c r="I28" s="7" t="n">
        <f aca="false">IF(AND(Ziele!$B$18="Plan bereit",22&lt;=Ziele!$B$5),ROUND(MAX(0,MIN(MAX(0,ROUND(Ziele!C14-F95,2)),IF(Ziele!E14="",MAX(0,ROUND(Ziele!C14-F95,2)),Ziele!E14),K27+B28-C28-SUM(E28:H28))),2),"")</f>
        <v>0</v>
      </c>
      <c r="J28" s="7" t="n">
        <f aca="false">IF(AND(Ziele!$B$18="Plan bereit",22&lt;=Ziele!$B$5),ROUND(MAX(0,MIN(MAX(0,ROUND(Ziele!C15-G95,2)),IF(Ziele!E15="",MAX(0,ROUND(Ziele!C15-G95,2)),Ziele!E15),K27+B28-C28-SUM(E28:I28))),2),"")</f>
        <v>0</v>
      </c>
      <c r="K28" s="7" t="n">
        <f aca="false">IF(AND(Ziele!$B$18="Plan bereit",22&lt;=Ziele!$B$5),ROUND(K27+B28-C28-SUM(E28:J28),2),"")</f>
        <v>0</v>
      </c>
      <c r="L28" s="7" t="n">
        <f aca="false">IF(AND(Ziele!$B$18="Plan bereit",22&lt;=Ziele!$B$5),ROUND(Ziele!$B$4+SUM(B$7:B28)-SUM(C$7:C28)-H96-K28-Ziele!$B$21,2),"")</f>
        <v>0</v>
      </c>
    </row>
    <row r="29" customFormat="false" ht="22.5" hidden="false" customHeight="true" outlineLevel="0" collapsed="false">
      <c r="A29" s="6" t="n">
        <f aca="false">IF(AND(Ziele!$B$18="Plan bereit",23&lt;=Ziele!$B$5),23,"")</f>
        <v>23</v>
      </c>
      <c r="B29" s="7" t="n">
        <f aca="false">IF(AND(Ziele!$B$18="Plan bereit",23&lt;=Ziele!$B$5),Budgets!C32,"")</f>
        <v>500</v>
      </c>
      <c r="C29" s="7" t="n">
        <f aca="false">IF(AND(Ziele!$B$18="Plan bereit",23&lt;=Ziele!$B$5),ROUND(MIN(Budgets!D32,K28+B29),2),"")</f>
        <v>150</v>
      </c>
      <c r="D29" s="7" t="n">
        <f aca="false">IF(AND(Ziele!$B$18="Plan bereit",23&lt;=Ziele!$B$5),ROUND(Budgets!D32-C29,2),"")</f>
        <v>0</v>
      </c>
      <c r="E29" s="7" t="n">
        <f aca="false">IF(AND(Ziele!$B$18="Plan bereit",23&lt;=Ziele!$B$5),ROUND(MAX(0,MIN(MAX(0,ROUND(Ziele!C10-B96,2)),IF(Ziele!E10="",MAX(0,ROUND(Ziele!C10-B96,2)),Ziele!E10),K28+B29-C29-0)),2),"")</f>
        <v>0</v>
      </c>
      <c r="F29" s="7" t="n">
        <f aca="false">IF(AND(Ziele!$B$18="Plan bereit",23&lt;=Ziele!$B$5),ROUND(MAX(0,MIN(MAX(0,ROUND(Ziele!C11-C96,2)),IF(Ziele!E11="",MAX(0,ROUND(Ziele!C11-C96,2)),Ziele!E11),K28+B29-C29-SUM(E29:E29))),2),"")</f>
        <v>350</v>
      </c>
      <c r="G29" s="7" t="n">
        <f aca="false">IF(AND(Ziele!$B$18="Plan bereit",23&lt;=Ziele!$B$5),ROUND(MAX(0,MIN(MAX(0,ROUND(Ziele!C12-D96,2)),IF(Ziele!E12="",MAX(0,ROUND(Ziele!C12-D96,2)),Ziele!E12),K28+B29-C29-SUM(E29:F29))),2),"")</f>
        <v>0</v>
      </c>
      <c r="H29" s="7" t="n">
        <f aca="false">IF(AND(Ziele!$B$18="Plan bereit",23&lt;=Ziele!$B$5),ROUND(MAX(0,MIN(MAX(0,ROUND(Ziele!C13-E96,2)),IF(Ziele!E13="",MAX(0,ROUND(Ziele!C13-E96,2)),Ziele!E13),K28+B29-C29-SUM(E29:G29))),2),"")</f>
        <v>0</v>
      </c>
      <c r="I29" s="7" t="n">
        <f aca="false">IF(AND(Ziele!$B$18="Plan bereit",23&lt;=Ziele!$B$5),ROUND(MAX(0,MIN(MAX(0,ROUND(Ziele!C14-F96,2)),IF(Ziele!E14="",MAX(0,ROUND(Ziele!C14-F96,2)),Ziele!E14),K28+B29-C29-SUM(E29:H29))),2),"")</f>
        <v>0</v>
      </c>
      <c r="J29" s="7" t="n">
        <f aca="false">IF(AND(Ziele!$B$18="Plan bereit",23&lt;=Ziele!$B$5),ROUND(MAX(0,MIN(MAX(0,ROUND(Ziele!C15-G96,2)),IF(Ziele!E15="",MAX(0,ROUND(Ziele!C15-G96,2)),Ziele!E15),K28+B29-C29-SUM(E29:I29))),2),"")</f>
        <v>0</v>
      </c>
      <c r="K29" s="7" t="n">
        <f aca="false">IF(AND(Ziele!$B$18="Plan bereit",23&lt;=Ziele!$B$5),ROUND(K28+B29-C29-SUM(E29:J29),2),"")</f>
        <v>0</v>
      </c>
      <c r="L29" s="7" t="n">
        <f aca="false">IF(AND(Ziele!$B$18="Plan bereit",23&lt;=Ziele!$B$5),ROUND(Ziele!$B$4+SUM(B$7:B29)-SUM(C$7:C29)-H97-K29-Ziele!$B$21,2),"")</f>
        <v>0</v>
      </c>
    </row>
    <row r="30" customFormat="false" ht="22.5" hidden="false" customHeight="true" outlineLevel="0" collapsed="false">
      <c r="A30" s="6" t="n">
        <f aca="false">IF(AND(Ziele!$B$18="Plan bereit",24&lt;=Ziele!$B$5),24,"")</f>
        <v>24</v>
      </c>
      <c r="B30" s="7" t="n">
        <f aca="false">IF(AND(Ziele!$B$18="Plan bereit",24&lt;=Ziele!$B$5),Budgets!C33,"")</f>
        <v>500</v>
      </c>
      <c r="C30" s="7" t="n">
        <f aca="false">IF(AND(Ziele!$B$18="Plan bereit",24&lt;=Ziele!$B$5),ROUND(MIN(Budgets!D33,K29+B30),2),"")</f>
        <v>150</v>
      </c>
      <c r="D30" s="7" t="n">
        <f aca="false">IF(AND(Ziele!$B$18="Plan bereit",24&lt;=Ziele!$B$5),ROUND(Budgets!D33-C30,2),"")</f>
        <v>0</v>
      </c>
      <c r="E30" s="7" t="n">
        <f aca="false">IF(AND(Ziele!$B$18="Plan bereit",24&lt;=Ziele!$B$5),ROUND(MAX(0,MIN(MAX(0,ROUND(Ziele!C10-B97,2)),IF(Ziele!E10="",MAX(0,ROUND(Ziele!C10-B97,2)),Ziele!E10),K29+B30-C30-0)),2),"")</f>
        <v>0</v>
      </c>
      <c r="F30" s="7" t="n">
        <f aca="false">IF(AND(Ziele!$B$18="Plan bereit",24&lt;=Ziele!$B$5),ROUND(MAX(0,MIN(MAX(0,ROUND(Ziele!C11-C97,2)),IF(Ziele!E11="",MAX(0,ROUND(Ziele!C11-C97,2)),Ziele!E11),K29+B30-C30-SUM(E30:E30))),2),"")</f>
        <v>350</v>
      </c>
      <c r="G30" s="7" t="n">
        <f aca="false">IF(AND(Ziele!$B$18="Plan bereit",24&lt;=Ziele!$B$5),ROUND(MAX(0,MIN(MAX(0,ROUND(Ziele!C12-D97,2)),IF(Ziele!E12="",MAX(0,ROUND(Ziele!C12-D97,2)),Ziele!E12),K29+B30-C30-SUM(E30:F30))),2),"")</f>
        <v>0</v>
      </c>
      <c r="H30" s="7" t="n">
        <f aca="false">IF(AND(Ziele!$B$18="Plan bereit",24&lt;=Ziele!$B$5),ROUND(MAX(0,MIN(MAX(0,ROUND(Ziele!C13-E97,2)),IF(Ziele!E13="",MAX(0,ROUND(Ziele!C13-E97,2)),Ziele!E13),K29+B30-C30-SUM(E30:G30))),2),"")</f>
        <v>0</v>
      </c>
      <c r="I30" s="7" t="n">
        <f aca="false">IF(AND(Ziele!$B$18="Plan bereit",24&lt;=Ziele!$B$5),ROUND(MAX(0,MIN(MAX(0,ROUND(Ziele!C14-F97,2)),IF(Ziele!E14="",MAX(0,ROUND(Ziele!C14-F97,2)),Ziele!E14),K29+B30-C30-SUM(E30:H30))),2),"")</f>
        <v>0</v>
      </c>
      <c r="J30" s="7" t="n">
        <f aca="false">IF(AND(Ziele!$B$18="Plan bereit",24&lt;=Ziele!$B$5),ROUND(MAX(0,MIN(MAX(0,ROUND(Ziele!C15-G97,2)),IF(Ziele!E15="",MAX(0,ROUND(Ziele!C15-G97,2)),Ziele!E15),K29+B30-C30-SUM(E30:I30))),2),"")</f>
        <v>0</v>
      </c>
      <c r="K30" s="7" t="n">
        <f aca="false">IF(AND(Ziele!$B$18="Plan bereit",24&lt;=Ziele!$B$5),ROUND(K29+B30-C30-SUM(E30:J30),2),"")</f>
        <v>0</v>
      </c>
      <c r="L30" s="7" t="n">
        <f aca="false">IF(AND(Ziele!$B$18="Plan bereit",24&lt;=Ziele!$B$5),ROUND(Ziele!$B$4+SUM(B$7:B30)-SUM(C$7:C30)-H98-K30-Ziele!$B$21,2),"")</f>
        <v>0</v>
      </c>
    </row>
    <row r="31" customFormat="false" ht="22.5" hidden="false" customHeight="true" outlineLevel="0" collapsed="false">
      <c r="A31" s="6" t="n">
        <f aca="false">IF(AND(Ziele!$B$18="Plan bereit",25&lt;=Ziele!$B$5),25,"")</f>
        <v>25</v>
      </c>
      <c r="B31" s="7" t="n">
        <f aca="false">IF(AND(Ziele!$B$18="Plan bereit",25&lt;=Ziele!$B$5),Budgets!C34,"")</f>
        <v>500</v>
      </c>
      <c r="C31" s="7" t="n">
        <f aca="false">IF(AND(Ziele!$B$18="Plan bereit",25&lt;=Ziele!$B$5),ROUND(MIN(Budgets!D34,K30+B31),2),"")</f>
        <v>150</v>
      </c>
      <c r="D31" s="7" t="n">
        <f aca="false">IF(AND(Ziele!$B$18="Plan bereit",25&lt;=Ziele!$B$5),ROUND(Budgets!D34-C31,2),"")</f>
        <v>0</v>
      </c>
      <c r="E31" s="7" t="n">
        <f aca="false">IF(AND(Ziele!$B$18="Plan bereit",25&lt;=Ziele!$B$5),ROUND(MAX(0,MIN(MAX(0,ROUND(Ziele!C10-B98,2)),IF(Ziele!E10="",MAX(0,ROUND(Ziele!C10-B98,2)),Ziele!E10),K30+B31-C31-0)),2),"")</f>
        <v>0</v>
      </c>
      <c r="F31" s="7" t="n">
        <f aca="false">IF(AND(Ziele!$B$18="Plan bereit",25&lt;=Ziele!$B$5),ROUND(MAX(0,MIN(MAX(0,ROUND(Ziele!C11-C98,2)),IF(Ziele!E11="",MAX(0,ROUND(Ziele!C11-C98,2)),Ziele!E11),K30+B31-C31-SUM(E31:E31))),2),"")</f>
        <v>350</v>
      </c>
      <c r="G31" s="7" t="n">
        <f aca="false">IF(AND(Ziele!$B$18="Plan bereit",25&lt;=Ziele!$B$5),ROUND(MAX(0,MIN(MAX(0,ROUND(Ziele!C12-D98,2)),IF(Ziele!E12="",MAX(0,ROUND(Ziele!C12-D98,2)),Ziele!E12),K30+B31-C31-SUM(E31:F31))),2),"")</f>
        <v>0</v>
      </c>
      <c r="H31" s="7" t="n">
        <f aca="false">IF(AND(Ziele!$B$18="Plan bereit",25&lt;=Ziele!$B$5),ROUND(MAX(0,MIN(MAX(0,ROUND(Ziele!C13-E98,2)),IF(Ziele!E13="",MAX(0,ROUND(Ziele!C13-E98,2)),Ziele!E13),K30+B31-C31-SUM(E31:G31))),2),"")</f>
        <v>0</v>
      </c>
      <c r="I31" s="7" t="n">
        <f aca="false">IF(AND(Ziele!$B$18="Plan bereit",25&lt;=Ziele!$B$5),ROUND(MAX(0,MIN(MAX(0,ROUND(Ziele!C14-F98,2)),IF(Ziele!E14="",MAX(0,ROUND(Ziele!C14-F98,2)),Ziele!E14),K30+B31-C31-SUM(E31:H31))),2),"")</f>
        <v>0</v>
      </c>
      <c r="J31" s="7" t="n">
        <f aca="false">IF(AND(Ziele!$B$18="Plan bereit",25&lt;=Ziele!$B$5),ROUND(MAX(0,MIN(MAX(0,ROUND(Ziele!C15-G98,2)),IF(Ziele!E15="",MAX(0,ROUND(Ziele!C15-G98,2)),Ziele!E15),K30+B31-C31-SUM(E31:I31))),2),"")</f>
        <v>0</v>
      </c>
      <c r="K31" s="7" t="n">
        <f aca="false">IF(AND(Ziele!$B$18="Plan bereit",25&lt;=Ziele!$B$5),ROUND(K30+B31-C31-SUM(E31:J31),2),"")</f>
        <v>0</v>
      </c>
      <c r="L31" s="7" t="n">
        <f aca="false">IF(AND(Ziele!$B$18="Plan bereit",25&lt;=Ziele!$B$5),ROUND(Ziele!$B$4+SUM(B$7:B31)-SUM(C$7:C31)-H99-K31-Ziele!$B$21,2),"")</f>
        <v>0</v>
      </c>
    </row>
    <row r="32" customFormat="false" ht="22.5" hidden="false" customHeight="true" outlineLevel="0" collapsed="false">
      <c r="A32" s="6" t="n">
        <f aca="false">IF(AND(Ziele!$B$18="Plan bereit",26&lt;=Ziele!$B$5),26,"")</f>
        <v>26</v>
      </c>
      <c r="B32" s="7" t="n">
        <f aca="false">IF(AND(Ziele!$B$18="Plan bereit",26&lt;=Ziele!$B$5),Budgets!C35,"")</f>
        <v>500</v>
      </c>
      <c r="C32" s="7" t="n">
        <f aca="false">IF(AND(Ziele!$B$18="Plan bereit",26&lt;=Ziele!$B$5),ROUND(MIN(Budgets!D35,K31+B32),2),"")</f>
        <v>150</v>
      </c>
      <c r="D32" s="7" t="n">
        <f aca="false">IF(AND(Ziele!$B$18="Plan bereit",26&lt;=Ziele!$B$5),ROUND(Budgets!D35-C32,2),"")</f>
        <v>0</v>
      </c>
      <c r="E32" s="7" t="n">
        <f aca="false">IF(AND(Ziele!$B$18="Plan bereit",26&lt;=Ziele!$B$5),ROUND(MAX(0,MIN(MAX(0,ROUND(Ziele!C10-B99,2)),IF(Ziele!E10="",MAX(0,ROUND(Ziele!C10-B99,2)),Ziele!E10),K31+B32-C32-0)),2),"")</f>
        <v>0</v>
      </c>
      <c r="F32" s="7" t="n">
        <f aca="false">IF(AND(Ziele!$B$18="Plan bereit",26&lt;=Ziele!$B$5),ROUND(MAX(0,MIN(MAX(0,ROUND(Ziele!C11-C99,2)),IF(Ziele!E11="",MAX(0,ROUND(Ziele!C11-C99,2)),Ziele!E11),K31+B32-C32-SUM(E32:E32))),2),"")</f>
        <v>350</v>
      </c>
      <c r="G32" s="7" t="n">
        <f aca="false">IF(AND(Ziele!$B$18="Plan bereit",26&lt;=Ziele!$B$5),ROUND(MAX(0,MIN(MAX(0,ROUND(Ziele!C12-D99,2)),IF(Ziele!E12="",MAX(0,ROUND(Ziele!C12-D99,2)),Ziele!E12),K31+B32-C32-SUM(E32:F32))),2),"")</f>
        <v>0</v>
      </c>
      <c r="H32" s="7" t="n">
        <f aca="false">IF(AND(Ziele!$B$18="Plan bereit",26&lt;=Ziele!$B$5),ROUND(MAX(0,MIN(MAX(0,ROUND(Ziele!C13-E99,2)),IF(Ziele!E13="",MAX(0,ROUND(Ziele!C13-E99,2)),Ziele!E13),K31+B32-C32-SUM(E32:G32))),2),"")</f>
        <v>0</v>
      </c>
      <c r="I32" s="7" t="n">
        <f aca="false">IF(AND(Ziele!$B$18="Plan bereit",26&lt;=Ziele!$B$5),ROUND(MAX(0,MIN(MAX(0,ROUND(Ziele!C14-F99,2)),IF(Ziele!E14="",MAX(0,ROUND(Ziele!C14-F99,2)),Ziele!E14),K31+B32-C32-SUM(E32:H32))),2),"")</f>
        <v>0</v>
      </c>
      <c r="J32" s="7" t="n">
        <f aca="false">IF(AND(Ziele!$B$18="Plan bereit",26&lt;=Ziele!$B$5),ROUND(MAX(0,MIN(MAX(0,ROUND(Ziele!C15-G99,2)),IF(Ziele!E15="",MAX(0,ROUND(Ziele!C15-G99,2)),Ziele!E15),K31+B32-C32-SUM(E32:I32))),2),"")</f>
        <v>0</v>
      </c>
      <c r="K32" s="7" t="n">
        <f aca="false">IF(AND(Ziele!$B$18="Plan bereit",26&lt;=Ziele!$B$5),ROUND(K31+B32-C32-SUM(E32:J32),2),"")</f>
        <v>0</v>
      </c>
      <c r="L32" s="7" t="n">
        <f aca="false">IF(AND(Ziele!$B$18="Plan bereit",26&lt;=Ziele!$B$5),ROUND(Ziele!$B$4+SUM(B$7:B32)-SUM(C$7:C32)-H100-K32-Ziele!$B$21,2),"")</f>
        <v>0</v>
      </c>
    </row>
    <row r="33" customFormat="false" ht="22.5" hidden="false" customHeight="true" outlineLevel="0" collapsed="false">
      <c r="A33" s="6" t="n">
        <f aca="false">IF(AND(Ziele!$B$18="Plan bereit",27&lt;=Ziele!$B$5),27,"")</f>
        <v>27</v>
      </c>
      <c r="B33" s="7" t="n">
        <f aca="false">IF(AND(Ziele!$B$18="Plan bereit",27&lt;=Ziele!$B$5),Budgets!C36,"")</f>
        <v>500</v>
      </c>
      <c r="C33" s="7" t="n">
        <f aca="false">IF(AND(Ziele!$B$18="Plan bereit",27&lt;=Ziele!$B$5),ROUND(MIN(Budgets!D36,K32+B33),2),"")</f>
        <v>150</v>
      </c>
      <c r="D33" s="7" t="n">
        <f aca="false">IF(AND(Ziele!$B$18="Plan bereit",27&lt;=Ziele!$B$5),ROUND(Budgets!D36-C33,2),"")</f>
        <v>0</v>
      </c>
      <c r="E33" s="7" t="n">
        <f aca="false">IF(AND(Ziele!$B$18="Plan bereit",27&lt;=Ziele!$B$5),ROUND(MAX(0,MIN(MAX(0,ROUND(Ziele!C10-B100,2)),IF(Ziele!E10="",MAX(0,ROUND(Ziele!C10-B100,2)),Ziele!E10),K32+B33-C33-0)),2),"")</f>
        <v>0</v>
      </c>
      <c r="F33" s="7" t="n">
        <f aca="false">IF(AND(Ziele!$B$18="Plan bereit",27&lt;=Ziele!$B$5),ROUND(MAX(0,MIN(MAX(0,ROUND(Ziele!C11-C100,2)),IF(Ziele!E11="",MAX(0,ROUND(Ziele!C11-C100,2)),Ziele!E11),K32+B33-C33-SUM(E33:E33))),2),"")</f>
        <v>350</v>
      </c>
      <c r="G33" s="7" t="n">
        <f aca="false">IF(AND(Ziele!$B$18="Plan bereit",27&lt;=Ziele!$B$5),ROUND(MAX(0,MIN(MAX(0,ROUND(Ziele!C12-D100,2)),IF(Ziele!E12="",MAX(0,ROUND(Ziele!C12-D100,2)),Ziele!E12),K32+B33-C33-SUM(E33:F33))),2),"")</f>
        <v>0</v>
      </c>
      <c r="H33" s="7" t="n">
        <f aca="false">IF(AND(Ziele!$B$18="Plan bereit",27&lt;=Ziele!$B$5),ROUND(MAX(0,MIN(MAX(0,ROUND(Ziele!C13-E100,2)),IF(Ziele!E13="",MAX(0,ROUND(Ziele!C13-E100,2)),Ziele!E13),K32+B33-C33-SUM(E33:G33))),2),"")</f>
        <v>0</v>
      </c>
      <c r="I33" s="7" t="n">
        <f aca="false">IF(AND(Ziele!$B$18="Plan bereit",27&lt;=Ziele!$B$5),ROUND(MAX(0,MIN(MAX(0,ROUND(Ziele!C14-F100,2)),IF(Ziele!E14="",MAX(0,ROUND(Ziele!C14-F100,2)),Ziele!E14),K32+B33-C33-SUM(E33:H33))),2),"")</f>
        <v>0</v>
      </c>
      <c r="J33" s="7" t="n">
        <f aca="false">IF(AND(Ziele!$B$18="Plan bereit",27&lt;=Ziele!$B$5),ROUND(MAX(0,MIN(MAX(0,ROUND(Ziele!C15-G100,2)),IF(Ziele!E15="",MAX(0,ROUND(Ziele!C15-G100,2)),Ziele!E15),K32+B33-C33-SUM(E33:I33))),2),"")</f>
        <v>0</v>
      </c>
      <c r="K33" s="7" t="n">
        <f aca="false">IF(AND(Ziele!$B$18="Plan bereit",27&lt;=Ziele!$B$5),ROUND(K32+B33-C33-SUM(E33:J33),2),"")</f>
        <v>0</v>
      </c>
      <c r="L33" s="7" t="n">
        <f aca="false">IF(AND(Ziele!$B$18="Plan bereit",27&lt;=Ziele!$B$5),ROUND(Ziele!$B$4+SUM(B$7:B33)-SUM(C$7:C33)-H101-K33-Ziele!$B$21,2),"")</f>
        <v>0</v>
      </c>
    </row>
    <row r="34" customFormat="false" ht="22.5" hidden="false" customHeight="true" outlineLevel="0" collapsed="false">
      <c r="A34" s="6" t="n">
        <f aca="false">IF(AND(Ziele!$B$18="Plan bereit",28&lt;=Ziele!$B$5),28,"")</f>
        <v>28</v>
      </c>
      <c r="B34" s="7" t="n">
        <f aca="false">IF(AND(Ziele!$B$18="Plan bereit",28&lt;=Ziele!$B$5),Budgets!C37,"")</f>
        <v>500</v>
      </c>
      <c r="C34" s="7" t="n">
        <f aca="false">IF(AND(Ziele!$B$18="Plan bereit",28&lt;=Ziele!$B$5),ROUND(MIN(Budgets!D37,K33+B34),2),"")</f>
        <v>150</v>
      </c>
      <c r="D34" s="7" t="n">
        <f aca="false">IF(AND(Ziele!$B$18="Plan bereit",28&lt;=Ziele!$B$5),ROUND(Budgets!D37-C34,2),"")</f>
        <v>0</v>
      </c>
      <c r="E34" s="7" t="n">
        <f aca="false">IF(AND(Ziele!$B$18="Plan bereit",28&lt;=Ziele!$B$5),ROUND(MAX(0,MIN(MAX(0,ROUND(Ziele!C10-B101,2)),IF(Ziele!E10="",MAX(0,ROUND(Ziele!C10-B101,2)),Ziele!E10),K33+B34-C34-0)),2),"")</f>
        <v>0</v>
      </c>
      <c r="F34" s="7" t="n">
        <f aca="false">IF(AND(Ziele!$B$18="Plan bereit",28&lt;=Ziele!$B$5),ROUND(MAX(0,MIN(MAX(0,ROUND(Ziele!C11-C101,2)),IF(Ziele!E11="",MAX(0,ROUND(Ziele!C11-C101,2)),Ziele!E11),K33+B34-C34-SUM(E34:E34))),2),"")</f>
        <v>350</v>
      </c>
      <c r="G34" s="7" t="n">
        <f aca="false">IF(AND(Ziele!$B$18="Plan bereit",28&lt;=Ziele!$B$5),ROUND(MAX(0,MIN(MAX(0,ROUND(Ziele!C12-D101,2)),IF(Ziele!E12="",MAX(0,ROUND(Ziele!C12-D101,2)),Ziele!E12),K33+B34-C34-SUM(E34:F34))),2),"")</f>
        <v>0</v>
      </c>
      <c r="H34" s="7" t="n">
        <f aca="false">IF(AND(Ziele!$B$18="Plan bereit",28&lt;=Ziele!$B$5),ROUND(MAX(0,MIN(MAX(0,ROUND(Ziele!C13-E101,2)),IF(Ziele!E13="",MAX(0,ROUND(Ziele!C13-E101,2)),Ziele!E13),K33+B34-C34-SUM(E34:G34))),2),"")</f>
        <v>0</v>
      </c>
      <c r="I34" s="7" t="n">
        <f aca="false">IF(AND(Ziele!$B$18="Plan bereit",28&lt;=Ziele!$B$5),ROUND(MAX(0,MIN(MAX(0,ROUND(Ziele!C14-F101,2)),IF(Ziele!E14="",MAX(0,ROUND(Ziele!C14-F101,2)),Ziele!E14),K33+B34-C34-SUM(E34:H34))),2),"")</f>
        <v>0</v>
      </c>
      <c r="J34" s="7" t="n">
        <f aca="false">IF(AND(Ziele!$B$18="Plan bereit",28&lt;=Ziele!$B$5),ROUND(MAX(0,MIN(MAX(0,ROUND(Ziele!C15-G101,2)),IF(Ziele!E15="",MAX(0,ROUND(Ziele!C15-G101,2)),Ziele!E15),K33+B34-C34-SUM(E34:I34))),2),"")</f>
        <v>0</v>
      </c>
      <c r="K34" s="7" t="n">
        <f aca="false">IF(AND(Ziele!$B$18="Plan bereit",28&lt;=Ziele!$B$5),ROUND(K33+B34-C34-SUM(E34:J34),2),"")</f>
        <v>0</v>
      </c>
      <c r="L34" s="7" t="n">
        <f aca="false">IF(AND(Ziele!$B$18="Plan bereit",28&lt;=Ziele!$B$5),ROUND(Ziele!$B$4+SUM(B$7:B34)-SUM(C$7:C34)-H102-K34-Ziele!$B$21,2),"")</f>
        <v>0</v>
      </c>
    </row>
    <row r="35" customFormat="false" ht="22.5" hidden="false" customHeight="true" outlineLevel="0" collapsed="false">
      <c r="A35" s="6" t="n">
        <f aca="false">IF(AND(Ziele!$B$18="Plan bereit",29&lt;=Ziele!$B$5),29,"")</f>
        <v>29</v>
      </c>
      <c r="B35" s="7" t="n">
        <f aca="false">IF(AND(Ziele!$B$18="Plan bereit",29&lt;=Ziele!$B$5),Budgets!C38,"")</f>
        <v>500</v>
      </c>
      <c r="C35" s="7" t="n">
        <f aca="false">IF(AND(Ziele!$B$18="Plan bereit",29&lt;=Ziele!$B$5),ROUND(MIN(Budgets!D38,K34+B35),2),"")</f>
        <v>150</v>
      </c>
      <c r="D35" s="7" t="n">
        <f aca="false">IF(AND(Ziele!$B$18="Plan bereit",29&lt;=Ziele!$B$5),ROUND(Budgets!D38-C35,2),"")</f>
        <v>0</v>
      </c>
      <c r="E35" s="7" t="n">
        <f aca="false">IF(AND(Ziele!$B$18="Plan bereit",29&lt;=Ziele!$B$5),ROUND(MAX(0,MIN(MAX(0,ROUND(Ziele!C10-B102,2)),IF(Ziele!E10="",MAX(0,ROUND(Ziele!C10-B102,2)),Ziele!E10),K34+B35-C35-0)),2),"")</f>
        <v>0</v>
      </c>
      <c r="F35" s="7" t="n">
        <f aca="false">IF(AND(Ziele!$B$18="Plan bereit",29&lt;=Ziele!$B$5),ROUND(MAX(0,MIN(MAX(0,ROUND(Ziele!C11-C102,2)),IF(Ziele!E11="",MAX(0,ROUND(Ziele!C11-C102,2)),Ziele!E11),K34+B35-C35-SUM(E35:E35))),2),"")</f>
        <v>350</v>
      </c>
      <c r="G35" s="7" t="n">
        <f aca="false">IF(AND(Ziele!$B$18="Plan bereit",29&lt;=Ziele!$B$5),ROUND(MAX(0,MIN(MAX(0,ROUND(Ziele!C12-D102,2)),IF(Ziele!E12="",MAX(0,ROUND(Ziele!C12-D102,2)),Ziele!E12),K34+B35-C35-SUM(E35:F35))),2),"")</f>
        <v>0</v>
      </c>
      <c r="H35" s="7" t="n">
        <f aca="false">IF(AND(Ziele!$B$18="Plan bereit",29&lt;=Ziele!$B$5),ROUND(MAX(0,MIN(MAX(0,ROUND(Ziele!C13-E102,2)),IF(Ziele!E13="",MAX(0,ROUND(Ziele!C13-E102,2)),Ziele!E13),K34+B35-C35-SUM(E35:G35))),2),"")</f>
        <v>0</v>
      </c>
      <c r="I35" s="7" t="n">
        <f aca="false">IF(AND(Ziele!$B$18="Plan bereit",29&lt;=Ziele!$B$5),ROUND(MAX(0,MIN(MAX(0,ROUND(Ziele!C14-F102,2)),IF(Ziele!E14="",MAX(0,ROUND(Ziele!C14-F102,2)),Ziele!E14),K34+B35-C35-SUM(E35:H35))),2),"")</f>
        <v>0</v>
      </c>
      <c r="J35" s="7" t="n">
        <f aca="false">IF(AND(Ziele!$B$18="Plan bereit",29&lt;=Ziele!$B$5),ROUND(MAX(0,MIN(MAX(0,ROUND(Ziele!C15-G102,2)),IF(Ziele!E15="",MAX(0,ROUND(Ziele!C15-G102,2)),Ziele!E15),K34+B35-C35-SUM(E35:I35))),2),"")</f>
        <v>0</v>
      </c>
      <c r="K35" s="7" t="n">
        <f aca="false">IF(AND(Ziele!$B$18="Plan bereit",29&lt;=Ziele!$B$5),ROUND(K34+B35-C35-SUM(E35:J35),2),"")</f>
        <v>0</v>
      </c>
      <c r="L35" s="7" t="n">
        <f aca="false">IF(AND(Ziele!$B$18="Plan bereit",29&lt;=Ziele!$B$5),ROUND(Ziele!$B$4+SUM(B$7:B35)-SUM(C$7:C35)-H103-K35-Ziele!$B$21,2),"")</f>
        <v>0</v>
      </c>
    </row>
    <row r="36" customFormat="false" ht="22.5" hidden="false" customHeight="true" outlineLevel="0" collapsed="false">
      <c r="A36" s="6" t="n">
        <f aca="false">IF(AND(Ziele!$B$18="Plan bereit",30&lt;=Ziele!$B$5),30,"")</f>
        <v>30</v>
      </c>
      <c r="B36" s="7" t="n">
        <f aca="false">IF(AND(Ziele!$B$18="Plan bereit",30&lt;=Ziele!$B$5),Budgets!C39,"")</f>
        <v>500</v>
      </c>
      <c r="C36" s="7" t="n">
        <f aca="false">IF(AND(Ziele!$B$18="Plan bereit",30&lt;=Ziele!$B$5),ROUND(MIN(Budgets!D39,K35+B36),2),"")</f>
        <v>150</v>
      </c>
      <c r="D36" s="7" t="n">
        <f aca="false">IF(AND(Ziele!$B$18="Plan bereit",30&lt;=Ziele!$B$5),ROUND(Budgets!D39-C36,2),"")</f>
        <v>0</v>
      </c>
      <c r="E36" s="7" t="n">
        <f aca="false">IF(AND(Ziele!$B$18="Plan bereit",30&lt;=Ziele!$B$5),ROUND(MAX(0,MIN(MAX(0,ROUND(Ziele!C10-B103,2)),IF(Ziele!E10="",MAX(0,ROUND(Ziele!C10-B103,2)),Ziele!E10),K35+B36-C36-0)),2),"")</f>
        <v>0</v>
      </c>
      <c r="F36" s="7" t="n">
        <f aca="false">IF(AND(Ziele!$B$18="Plan bereit",30&lt;=Ziele!$B$5),ROUND(MAX(0,MIN(MAX(0,ROUND(Ziele!C11-C103,2)),IF(Ziele!E11="",MAX(0,ROUND(Ziele!C11-C103,2)),Ziele!E11),K35+B36-C36-SUM(E36:E36))),2),"")</f>
        <v>350</v>
      </c>
      <c r="G36" s="7" t="n">
        <f aca="false">IF(AND(Ziele!$B$18="Plan bereit",30&lt;=Ziele!$B$5),ROUND(MAX(0,MIN(MAX(0,ROUND(Ziele!C12-D103,2)),IF(Ziele!E12="",MAX(0,ROUND(Ziele!C12-D103,2)),Ziele!E12),K35+B36-C36-SUM(E36:F36))),2),"")</f>
        <v>0</v>
      </c>
      <c r="H36" s="7" t="n">
        <f aca="false">IF(AND(Ziele!$B$18="Plan bereit",30&lt;=Ziele!$B$5),ROUND(MAX(0,MIN(MAX(0,ROUND(Ziele!C13-E103,2)),IF(Ziele!E13="",MAX(0,ROUND(Ziele!C13-E103,2)),Ziele!E13),K35+B36-C36-SUM(E36:G36))),2),"")</f>
        <v>0</v>
      </c>
      <c r="I36" s="7" t="n">
        <f aca="false">IF(AND(Ziele!$B$18="Plan bereit",30&lt;=Ziele!$B$5),ROUND(MAX(0,MIN(MAX(0,ROUND(Ziele!C14-F103,2)),IF(Ziele!E14="",MAX(0,ROUND(Ziele!C14-F103,2)),Ziele!E14),K35+B36-C36-SUM(E36:H36))),2),"")</f>
        <v>0</v>
      </c>
      <c r="J36" s="7" t="n">
        <f aca="false">IF(AND(Ziele!$B$18="Plan bereit",30&lt;=Ziele!$B$5),ROUND(MAX(0,MIN(MAX(0,ROUND(Ziele!C15-G103,2)),IF(Ziele!E15="",MAX(0,ROUND(Ziele!C15-G103,2)),Ziele!E15),K35+B36-C36-SUM(E36:I36))),2),"")</f>
        <v>0</v>
      </c>
      <c r="K36" s="7" t="n">
        <f aca="false">IF(AND(Ziele!$B$18="Plan bereit",30&lt;=Ziele!$B$5),ROUND(K35+B36-C36-SUM(E36:J36),2),"")</f>
        <v>0</v>
      </c>
      <c r="L36" s="7" t="n">
        <f aca="false">IF(AND(Ziele!$B$18="Plan bereit",30&lt;=Ziele!$B$5),ROUND(Ziele!$B$4+SUM(B$7:B36)-SUM(C$7:C36)-H104-K36-Ziele!$B$21,2),"")</f>
        <v>0</v>
      </c>
    </row>
    <row r="37" customFormat="false" ht="22.5" hidden="false" customHeight="true" outlineLevel="0" collapsed="false">
      <c r="A37" s="6" t="n">
        <f aca="false">IF(AND(Ziele!$B$18="Plan bereit",31&lt;=Ziele!$B$5),31,"")</f>
        <v>31</v>
      </c>
      <c r="B37" s="7" t="n">
        <f aca="false">IF(AND(Ziele!$B$18="Plan bereit",31&lt;=Ziele!$B$5),Budgets!C40,"")</f>
        <v>500</v>
      </c>
      <c r="C37" s="7" t="n">
        <f aca="false">IF(AND(Ziele!$B$18="Plan bereit",31&lt;=Ziele!$B$5),ROUND(MIN(Budgets!D40,K36+B37),2),"")</f>
        <v>150</v>
      </c>
      <c r="D37" s="7" t="n">
        <f aca="false">IF(AND(Ziele!$B$18="Plan bereit",31&lt;=Ziele!$B$5),ROUND(Budgets!D40-C37,2),"")</f>
        <v>0</v>
      </c>
      <c r="E37" s="7" t="n">
        <f aca="false">IF(AND(Ziele!$B$18="Plan bereit",31&lt;=Ziele!$B$5),ROUND(MAX(0,MIN(MAX(0,ROUND(Ziele!C10-B104,2)),IF(Ziele!E10="",MAX(0,ROUND(Ziele!C10-B104,2)),Ziele!E10),K36+B37-C37-0)),2),"")</f>
        <v>0</v>
      </c>
      <c r="F37" s="7" t="n">
        <f aca="false">IF(AND(Ziele!$B$18="Plan bereit",31&lt;=Ziele!$B$5),ROUND(MAX(0,MIN(MAX(0,ROUND(Ziele!C11-C104,2)),IF(Ziele!E11="",MAX(0,ROUND(Ziele!C11-C104,2)),Ziele!E11),K36+B37-C37-SUM(E37:E37))),2),"")</f>
        <v>350</v>
      </c>
      <c r="G37" s="7" t="n">
        <f aca="false">IF(AND(Ziele!$B$18="Plan bereit",31&lt;=Ziele!$B$5),ROUND(MAX(0,MIN(MAX(0,ROUND(Ziele!C12-D104,2)),IF(Ziele!E12="",MAX(0,ROUND(Ziele!C12-D104,2)),Ziele!E12),K36+B37-C37-SUM(E37:F37))),2),"")</f>
        <v>0</v>
      </c>
      <c r="H37" s="7" t="n">
        <f aca="false">IF(AND(Ziele!$B$18="Plan bereit",31&lt;=Ziele!$B$5),ROUND(MAX(0,MIN(MAX(0,ROUND(Ziele!C13-E104,2)),IF(Ziele!E13="",MAX(0,ROUND(Ziele!C13-E104,2)),Ziele!E13),K36+B37-C37-SUM(E37:G37))),2),"")</f>
        <v>0</v>
      </c>
      <c r="I37" s="7" t="n">
        <f aca="false">IF(AND(Ziele!$B$18="Plan bereit",31&lt;=Ziele!$B$5),ROUND(MAX(0,MIN(MAX(0,ROUND(Ziele!C14-F104,2)),IF(Ziele!E14="",MAX(0,ROUND(Ziele!C14-F104,2)),Ziele!E14),K36+B37-C37-SUM(E37:H37))),2),"")</f>
        <v>0</v>
      </c>
      <c r="J37" s="7" t="n">
        <f aca="false">IF(AND(Ziele!$B$18="Plan bereit",31&lt;=Ziele!$B$5),ROUND(MAX(0,MIN(MAX(0,ROUND(Ziele!C15-G104,2)),IF(Ziele!E15="",MAX(0,ROUND(Ziele!C15-G104,2)),Ziele!E15),K36+B37-C37-SUM(E37:I37))),2),"")</f>
        <v>0</v>
      </c>
      <c r="K37" s="7" t="n">
        <f aca="false">IF(AND(Ziele!$B$18="Plan bereit",31&lt;=Ziele!$B$5),ROUND(K36+B37-C37-SUM(E37:J37),2),"")</f>
        <v>0</v>
      </c>
      <c r="L37" s="7" t="n">
        <f aca="false">IF(AND(Ziele!$B$18="Plan bereit",31&lt;=Ziele!$B$5),ROUND(Ziele!$B$4+SUM(B$7:B37)-SUM(C$7:C37)-H105-K37-Ziele!$B$21,2),"")</f>
        <v>0</v>
      </c>
    </row>
    <row r="38" customFormat="false" ht="22.5" hidden="false" customHeight="true" outlineLevel="0" collapsed="false">
      <c r="A38" s="6" t="n">
        <f aca="false">IF(AND(Ziele!$B$18="Plan bereit",32&lt;=Ziele!$B$5),32,"")</f>
        <v>32</v>
      </c>
      <c r="B38" s="7" t="n">
        <f aca="false">IF(AND(Ziele!$B$18="Plan bereit",32&lt;=Ziele!$B$5),Budgets!C41,"")</f>
        <v>500</v>
      </c>
      <c r="C38" s="7" t="n">
        <f aca="false">IF(AND(Ziele!$B$18="Plan bereit",32&lt;=Ziele!$B$5),ROUND(MIN(Budgets!D41,K37+B38),2),"")</f>
        <v>150</v>
      </c>
      <c r="D38" s="7" t="n">
        <f aca="false">IF(AND(Ziele!$B$18="Plan bereit",32&lt;=Ziele!$B$5),ROUND(Budgets!D41-C38,2),"")</f>
        <v>0</v>
      </c>
      <c r="E38" s="7" t="n">
        <f aca="false">IF(AND(Ziele!$B$18="Plan bereit",32&lt;=Ziele!$B$5),ROUND(MAX(0,MIN(MAX(0,ROUND(Ziele!C10-B105,2)),IF(Ziele!E10="",MAX(0,ROUND(Ziele!C10-B105,2)),Ziele!E10),K37+B38-C38-0)),2),"")</f>
        <v>0</v>
      </c>
      <c r="F38" s="7" t="n">
        <f aca="false">IF(AND(Ziele!$B$18="Plan bereit",32&lt;=Ziele!$B$5),ROUND(MAX(0,MIN(MAX(0,ROUND(Ziele!C11-C105,2)),IF(Ziele!E11="",MAX(0,ROUND(Ziele!C11-C105,2)),Ziele!E11),K37+B38-C38-SUM(E38:E38))),2),"")</f>
        <v>350</v>
      </c>
      <c r="G38" s="7" t="n">
        <f aca="false">IF(AND(Ziele!$B$18="Plan bereit",32&lt;=Ziele!$B$5),ROUND(MAX(0,MIN(MAX(0,ROUND(Ziele!C12-D105,2)),IF(Ziele!E12="",MAX(0,ROUND(Ziele!C12-D105,2)),Ziele!E12),K37+B38-C38-SUM(E38:F38))),2),"")</f>
        <v>0</v>
      </c>
      <c r="H38" s="7" t="n">
        <f aca="false">IF(AND(Ziele!$B$18="Plan bereit",32&lt;=Ziele!$B$5),ROUND(MAX(0,MIN(MAX(0,ROUND(Ziele!C13-E105,2)),IF(Ziele!E13="",MAX(0,ROUND(Ziele!C13-E105,2)),Ziele!E13),K37+B38-C38-SUM(E38:G38))),2),"")</f>
        <v>0</v>
      </c>
      <c r="I38" s="7" t="n">
        <f aca="false">IF(AND(Ziele!$B$18="Plan bereit",32&lt;=Ziele!$B$5),ROUND(MAX(0,MIN(MAX(0,ROUND(Ziele!C14-F105,2)),IF(Ziele!E14="",MAX(0,ROUND(Ziele!C14-F105,2)),Ziele!E14),K37+B38-C38-SUM(E38:H38))),2),"")</f>
        <v>0</v>
      </c>
      <c r="J38" s="7" t="n">
        <f aca="false">IF(AND(Ziele!$B$18="Plan bereit",32&lt;=Ziele!$B$5),ROUND(MAX(0,MIN(MAX(0,ROUND(Ziele!C15-G105,2)),IF(Ziele!E15="",MAX(0,ROUND(Ziele!C15-G105,2)),Ziele!E15),K37+B38-C38-SUM(E38:I38))),2),"")</f>
        <v>0</v>
      </c>
      <c r="K38" s="7" t="n">
        <f aca="false">IF(AND(Ziele!$B$18="Plan bereit",32&lt;=Ziele!$B$5),ROUND(K37+B38-C38-SUM(E38:J38),2),"")</f>
        <v>0</v>
      </c>
      <c r="L38" s="7" t="n">
        <f aca="false">IF(AND(Ziele!$B$18="Plan bereit",32&lt;=Ziele!$B$5),ROUND(Ziele!$B$4+SUM(B$7:B38)-SUM(C$7:C38)-H106-K38-Ziele!$B$21,2),"")</f>
        <v>0</v>
      </c>
    </row>
    <row r="39" customFormat="false" ht="22.5" hidden="false" customHeight="true" outlineLevel="0" collapsed="false">
      <c r="A39" s="6" t="n">
        <f aca="false">IF(AND(Ziele!$B$18="Plan bereit",33&lt;=Ziele!$B$5),33,"")</f>
        <v>33</v>
      </c>
      <c r="B39" s="7" t="n">
        <f aca="false">IF(AND(Ziele!$B$18="Plan bereit",33&lt;=Ziele!$B$5),Budgets!C42,"")</f>
        <v>500</v>
      </c>
      <c r="C39" s="7" t="n">
        <f aca="false">IF(AND(Ziele!$B$18="Plan bereit",33&lt;=Ziele!$B$5),ROUND(MIN(Budgets!D42,K38+B39),2),"")</f>
        <v>150</v>
      </c>
      <c r="D39" s="7" t="n">
        <f aca="false">IF(AND(Ziele!$B$18="Plan bereit",33&lt;=Ziele!$B$5),ROUND(Budgets!D42-C39,2),"")</f>
        <v>0</v>
      </c>
      <c r="E39" s="7" t="n">
        <f aca="false">IF(AND(Ziele!$B$18="Plan bereit",33&lt;=Ziele!$B$5),ROUND(MAX(0,MIN(MAX(0,ROUND(Ziele!C10-B106,2)),IF(Ziele!E10="",MAX(0,ROUND(Ziele!C10-B106,2)),Ziele!E10),K38+B39-C39-0)),2),"")</f>
        <v>0</v>
      </c>
      <c r="F39" s="7" t="n">
        <f aca="false">IF(AND(Ziele!$B$18="Plan bereit",33&lt;=Ziele!$B$5),ROUND(MAX(0,MIN(MAX(0,ROUND(Ziele!C11-C106,2)),IF(Ziele!E11="",MAX(0,ROUND(Ziele!C11-C106,2)),Ziele!E11),K38+B39-C39-SUM(E39:E39))),2),"")</f>
        <v>350</v>
      </c>
      <c r="G39" s="7" t="n">
        <f aca="false">IF(AND(Ziele!$B$18="Plan bereit",33&lt;=Ziele!$B$5),ROUND(MAX(0,MIN(MAX(0,ROUND(Ziele!C12-D106,2)),IF(Ziele!E12="",MAX(0,ROUND(Ziele!C12-D106,2)),Ziele!E12),K38+B39-C39-SUM(E39:F39))),2),"")</f>
        <v>0</v>
      </c>
      <c r="H39" s="7" t="n">
        <f aca="false">IF(AND(Ziele!$B$18="Plan bereit",33&lt;=Ziele!$B$5),ROUND(MAX(0,MIN(MAX(0,ROUND(Ziele!C13-E106,2)),IF(Ziele!E13="",MAX(0,ROUND(Ziele!C13-E106,2)),Ziele!E13),K38+B39-C39-SUM(E39:G39))),2),"")</f>
        <v>0</v>
      </c>
      <c r="I39" s="7" t="n">
        <f aca="false">IF(AND(Ziele!$B$18="Plan bereit",33&lt;=Ziele!$B$5),ROUND(MAX(0,MIN(MAX(0,ROUND(Ziele!C14-F106,2)),IF(Ziele!E14="",MAX(0,ROUND(Ziele!C14-F106,2)),Ziele!E14),K38+B39-C39-SUM(E39:H39))),2),"")</f>
        <v>0</v>
      </c>
      <c r="J39" s="7" t="n">
        <f aca="false">IF(AND(Ziele!$B$18="Plan bereit",33&lt;=Ziele!$B$5),ROUND(MAX(0,MIN(MAX(0,ROUND(Ziele!C15-G106,2)),IF(Ziele!E15="",MAX(0,ROUND(Ziele!C15-G106,2)),Ziele!E15),K38+B39-C39-SUM(E39:I39))),2),"")</f>
        <v>0</v>
      </c>
      <c r="K39" s="7" t="n">
        <f aca="false">IF(AND(Ziele!$B$18="Plan bereit",33&lt;=Ziele!$B$5),ROUND(K38+B39-C39-SUM(E39:J39),2),"")</f>
        <v>0</v>
      </c>
      <c r="L39" s="7" t="n">
        <f aca="false">IF(AND(Ziele!$B$18="Plan bereit",33&lt;=Ziele!$B$5),ROUND(Ziele!$B$4+SUM(B$7:B39)-SUM(C$7:C39)-H107-K39-Ziele!$B$21,2),"")</f>
        <v>0</v>
      </c>
    </row>
    <row r="40" customFormat="false" ht="22.5" hidden="false" customHeight="true" outlineLevel="0" collapsed="false">
      <c r="A40" s="6" t="n">
        <f aca="false">IF(AND(Ziele!$B$18="Plan bereit",34&lt;=Ziele!$B$5),34,"")</f>
        <v>34</v>
      </c>
      <c r="B40" s="7" t="n">
        <f aca="false">IF(AND(Ziele!$B$18="Plan bereit",34&lt;=Ziele!$B$5),Budgets!C43,"")</f>
        <v>500</v>
      </c>
      <c r="C40" s="7" t="n">
        <f aca="false">IF(AND(Ziele!$B$18="Plan bereit",34&lt;=Ziele!$B$5),ROUND(MIN(Budgets!D43,K39+B40),2),"")</f>
        <v>150</v>
      </c>
      <c r="D40" s="7" t="n">
        <f aca="false">IF(AND(Ziele!$B$18="Plan bereit",34&lt;=Ziele!$B$5),ROUND(Budgets!D43-C40,2),"")</f>
        <v>0</v>
      </c>
      <c r="E40" s="7" t="n">
        <f aca="false">IF(AND(Ziele!$B$18="Plan bereit",34&lt;=Ziele!$B$5),ROUND(MAX(0,MIN(MAX(0,ROUND(Ziele!C10-B107,2)),IF(Ziele!E10="",MAX(0,ROUND(Ziele!C10-B107,2)),Ziele!E10),K39+B40-C40-0)),2),"")</f>
        <v>0</v>
      </c>
      <c r="F40" s="7" t="n">
        <f aca="false">IF(AND(Ziele!$B$18="Plan bereit",34&lt;=Ziele!$B$5),ROUND(MAX(0,MIN(MAX(0,ROUND(Ziele!C11-C107,2)),IF(Ziele!E11="",MAX(0,ROUND(Ziele!C11-C107,2)),Ziele!E11),K39+B40-C40-SUM(E40:E40))),2),"")</f>
        <v>350</v>
      </c>
      <c r="G40" s="7" t="n">
        <f aca="false">IF(AND(Ziele!$B$18="Plan bereit",34&lt;=Ziele!$B$5),ROUND(MAX(0,MIN(MAX(0,ROUND(Ziele!C12-D107,2)),IF(Ziele!E12="",MAX(0,ROUND(Ziele!C12-D107,2)),Ziele!E12),K39+B40-C40-SUM(E40:F40))),2),"")</f>
        <v>0</v>
      </c>
      <c r="H40" s="7" t="n">
        <f aca="false">IF(AND(Ziele!$B$18="Plan bereit",34&lt;=Ziele!$B$5),ROUND(MAX(0,MIN(MAX(0,ROUND(Ziele!C13-E107,2)),IF(Ziele!E13="",MAX(0,ROUND(Ziele!C13-E107,2)),Ziele!E13),K39+B40-C40-SUM(E40:G40))),2),"")</f>
        <v>0</v>
      </c>
      <c r="I40" s="7" t="n">
        <f aca="false">IF(AND(Ziele!$B$18="Plan bereit",34&lt;=Ziele!$B$5),ROUND(MAX(0,MIN(MAX(0,ROUND(Ziele!C14-F107,2)),IF(Ziele!E14="",MAX(0,ROUND(Ziele!C14-F107,2)),Ziele!E14),K39+B40-C40-SUM(E40:H40))),2),"")</f>
        <v>0</v>
      </c>
      <c r="J40" s="7" t="n">
        <f aca="false">IF(AND(Ziele!$B$18="Plan bereit",34&lt;=Ziele!$B$5),ROUND(MAX(0,MIN(MAX(0,ROUND(Ziele!C15-G107,2)),IF(Ziele!E15="",MAX(0,ROUND(Ziele!C15-G107,2)),Ziele!E15),K39+B40-C40-SUM(E40:I40))),2),"")</f>
        <v>0</v>
      </c>
      <c r="K40" s="7" t="n">
        <f aca="false">IF(AND(Ziele!$B$18="Plan bereit",34&lt;=Ziele!$B$5),ROUND(K39+B40-C40-SUM(E40:J40),2),"")</f>
        <v>0</v>
      </c>
      <c r="L40" s="7" t="n">
        <f aca="false">IF(AND(Ziele!$B$18="Plan bereit",34&lt;=Ziele!$B$5),ROUND(Ziele!$B$4+SUM(B$7:B40)-SUM(C$7:C40)-H108-K40-Ziele!$B$21,2),"")</f>
        <v>0</v>
      </c>
    </row>
    <row r="41" customFormat="false" ht="22.5" hidden="false" customHeight="true" outlineLevel="0" collapsed="false">
      <c r="A41" s="6" t="n">
        <f aca="false">IF(AND(Ziele!$B$18="Plan bereit",35&lt;=Ziele!$B$5),35,"")</f>
        <v>35</v>
      </c>
      <c r="B41" s="7" t="n">
        <f aca="false">IF(AND(Ziele!$B$18="Plan bereit",35&lt;=Ziele!$B$5),Budgets!C44,"")</f>
        <v>500</v>
      </c>
      <c r="C41" s="7" t="n">
        <f aca="false">IF(AND(Ziele!$B$18="Plan bereit",35&lt;=Ziele!$B$5),ROUND(MIN(Budgets!D44,K40+B41),2),"")</f>
        <v>150</v>
      </c>
      <c r="D41" s="7" t="n">
        <f aca="false">IF(AND(Ziele!$B$18="Plan bereit",35&lt;=Ziele!$B$5),ROUND(Budgets!D44-C41,2),"")</f>
        <v>0</v>
      </c>
      <c r="E41" s="7" t="n">
        <f aca="false">IF(AND(Ziele!$B$18="Plan bereit",35&lt;=Ziele!$B$5),ROUND(MAX(0,MIN(MAX(0,ROUND(Ziele!C10-B108,2)),IF(Ziele!E10="",MAX(0,ROUND(Ziele!C10-B108,2)),Ziele!E10),K40+B41-C41-0)),2),"")</f>
        <v>0</v>
      </c>
      <c r="F41" s="7" t="n">
        <f aca="false">IF(AND(Ziele!$B$18="Plan bereit",35&lt;=Ziele!$B$5),ROUND(MAX(0,MIN(MAX(0,ROUND(Ziele!C11-C108,2)),IF(Ziele!E11="",MAX(0,ROUND(Ziele!C11-C108,2)),Ziele!E11),K40+B41-C41-SUM(E41:E41))),2),"")</f>
        <v>350</v>
      </c>
      <c r="G41" s="7" t="n">
        <f aca="false">IF(AND(Ziele!$B$18="Plan bereit",35&lt;=Ziele!$B$5),ROUND(MAX(0,MIN(MAX(0,ROUND(Ziele!C12-D108,2)),IF(Ziele!E12="",MAX(0,ROUND(Ziele!C12-D108,2)),Ziele!E12),K40+B41-C41-SUM(E41:F41))),2),"")</f>
        <v>0</v>
      </c>
      <c r="H41" s="7" t="n">
        <f aca="false">IF(AND(Ziele!$B$18="Plan bereit",35&lt;=Ziele!$B$5),ROUND(MAX(0,MIN(MAX(0,ROUND(Ziele!C13-E108,2)),IF(Ziele!E13="",MAX(0,ROUND(Ziele!C13-E108,2)),Ziele!E13),K40+B41-C41-SUM(E41:G41))),2),"")</f>
        <v>0</v>
      </c>
      <c r="I41" s="7" t="n">
        <f aca="false">IF(AND(Ziele!$B$18="Plan bereit",35&lt;=Ziele!$B$5),ROUND(MAX(0,MIN(MAX(0,ROUND(Ziele!C14-F108,2)),IF(Ziele!E14="",MAX(0,ROUND(Ziele!C14-F108,2)),Ziele!E14),K40+B41-C41-SUM(E41:H41))),2),"")</f>
        <v>0</v>
      </c>
      <c r="J41" s="7" t="n">
        <f aca="false">IF(AND(Ziele!$B$18="Plan bereit",35&lt;=Ziele!$B$5),ROUND(MAX(0,MIN(MAX(0,ROUND(Ziele!C15-G108,2)),IF(Ziele!E15="",MAX(0,ROUND(Ziele!C15-G108,2)),Ziele!E15),K40+B41-C41-SUM(E41:I41))),2),"")</f>
        <v>0</v>
      </c>
      <c r="K41" s="7" t="n">
        <f aca="false">IF(AND(Ziele!$B$18="Plan bereit",35&lt;=Ziele!$B$5),ROUND(K40+B41-C41-SUM(E41:J41),2),"")</f>
        <v>0</v>
      </c>
      <c r="L41" s="7" t="n">
        <f aca="false">IF(AND(Ziele!$B$18="Plan bereit",35&lt;=Ziele!$B$5),ROUND(Ziele!$B$4+SUM(B$7:B41)-SUM(C$7:C41)-H109-K41-Ziele!$B$21,2),"")</f>
        <v>0</v>
      </c>
    </row>
    <row r="42" customFormat="false" ht="22.5" hidden="false" customHeight="true" outlineLevel="0" collapsed="false">
      <c r="A42" s="6" t="n">
        <f aca="false">IF(AND(Ziele!$B$18="Plan bereit",36&lt;=Ziele!$B$5),36,"")</f>
        <v>36</v>
      </c>
      <c r="B42" s="7" t="n">
        <f aca="false">IF(AND(Ziele!$B$18="Plan bereit",36&lt;=Ziele!$B$5),Budgets!C45,"")</f>
        <v>500</v>
      </c>
      <c r="C42" s="7" t="n">
        <f aca="false">IF(AND(Ziele!$B$18="Plan bereit",36&lt;=Ziele!$B$5),ROUND(MIN(Budgets!D45,K41+B42),2),"")</f>
        <v>150</v>
      </c>
      <c r="D42" s="7" t="n">
        <f aca="false">IF(AND(Ziele!$B$18="Plan bereit",36&lt;=Ziele!$B$5),ROUND(Budgets!D45-C42,2),"")</f>
        <v>0</v>
      </c>
      <c r="E42" s="7" t="n">
        <f aca="false">IF(AND(Ziele!$B$18="Plan bereit",36&lt;=Ziele!$B$5),ROUND(MAX(0,MIN(MAX(0,ROUND(Ziele!C10-B109,2)),IF(Ziele!E10="",MAX(0,ROUND(Ziele!C10-B109,2)),Ziele!E10),K41+B42-C42-0)),2),"")</f>
        <v>0</v>
      </c>
      <c r="F42" s="7" t="n">
        <f aca="false">IF(AND(Ziele!$B$18="Plan bereit",36&lt;=Ziele!$B$5),ROUND(MAX(0,MIN(MAX(0,ROUND(Ziele!C11-C109,2)),IF(Ziele!E11="",MAX(0,ROUND(Ziele!C11-C109,2)),Ziele!E11),K41+B42-C42-SUM(E42:E42))),2),"")</f>
        <v>350</v>
      </c>
      <c r="G42" s="7" t="n">
        <f aca="false">IF(AND(Ziele!$B$18="Plan bereit",36&lt;=Ziele!$B$5),ROUND(MAX(0,MIN(MAX(0,ROUND(Ziele!C12-D109,2)),IF(Ziele!E12="",MAX(0,ROUND(Ziele!C12-D109,2)),Ziele!E12),K41+B42-C42-SUM(E42:F42))),2),"")</f>
        <v>0</v>
      </c>
      <c r="H42" s="7" t="n">
        <f aca="false">IF(AND(Ziele!$B$18="Plan bereit",36&lt;=Ziele!$B$5),ROUND(MAX(0,MIN(MAX(0,ROUND(Ziele!C13-E109,2)),IF(Ziele!E13="",MAX(0,ROUND(Ziele!C13-E109,2)),Ziele!E13),K41+B42-C42-SUM(E42:G42))),2),"")</f>
        <v>0</v>
      </c>
      <c r="I42" s="7" t="n">
        <f aca="false">IF(AND(Ziele!$B$18="Plan bereit",36&lt;=Ziele!$B$5),ROUND(MAX(0,MIN(MAX(0,ROUND(Ziele!C14-F109,2)),IF(Ziele!E14="",MAX(0,ROUND(Ziele!C14-F109,2)),Ziele!E14),K41+B42-C42-SUM(E42:H42))),2),"")</f>
        <v>0</v>
      </c>
      <c r="J42" s="7" t="n">
        <f aca="false">IF(AND(Ziele!$B$18="Plan bereit",36&lt;=Ziele!$B$5),ROUND(MAX(0,MIN(MAX(0,ROUND(Ziele!C15-G109,2)),IF(Ziele!E15="",MAX(0,ROUND(Ziele!C15-G109,2)),Ziele!E15),K41+B42-C42-SUM(E42:I42))),2),"")</f>
        <v>0</v>
      </c>
      <c r="K42" s="7" t="n">
        <f aca="false">IF(AND(Ziele!$B$18="Plan bereit",36&lt;=Ziele!$B$5),ROUND(K41+B42-C42-SUM(E42:J42),2),"")</f>
        <v>0</v>
      </c>
      <c r="L42" s="7" t="n">
        <f aca="false">IF(AND(Ziele!$B$18="Plan bereit",36&lt;=Ziele!$B$5),ROUND(Ziele!$B$4+SUM(B$7:B42)-SUM(C$7:C42)-H110-K42-Ziele!$B$21,2),"")</f>
        <v>0</v>
      </c>
    </row>
    <row r="43" customFormat="false" ht="22.5" hidden="false" customHeight="true" outlineLevel="0" collapsed="false">
      <c r="A43" s="6" t="n">
        <f aca="false">IF(AND(Ziele!$B$18="Plan bereit",37&lt;=Ziele!$B$5),37,"")</f>
        <v>37</v>
      </c>
      <c r="B43" s="7" t="n">
        <f aca="false">IF(AND(Ziele!$B$18="Plan bereit",37&lt;=Ziele!$B$5),Budgets!C46,"")</f>
        <v>500</v>
      </c>
      <c r="C43" s="7" t="n">
        <f aca="false">IF(AND(Ziele!$B$18="Plan bereit",37&lt;=Ziele!$B$5),ROUND(MIN(Budgets!D46,K42+B43),2),"")</f>
        <v>150</v>
      </c>
      <c r="D43" s="7" t="n">
        <f aca="false">IF(AND(Ziele!$B$18="Plan bereit",37&lt;=Ziele!$B$5),ROUND(Budgets!D46-C43,2),"")</f>
        <v>0</v>
      </c>
      <c r="E43" s="7" t="n">
        <f aca="false">IF(AND(Ziele!$B$18="Plan bereit",37&lt;=Ziele!$B$5),ROUND(MAX(0,MIN(MAX(0,ROUND(Ziele!C10-B110,2)),IF(Ziele!E10="",MAX(0,ROUND(Ziele!C10-B110,2)),Ziele!E10),K42+B43-C43-0)),2),"")</f>
        <v>0</v>
      </c>
      <c r="F43" s="7" t="n">
        <f aca="false">IF(AND(Ziele!$B$18="Plan bereit",37&lt;=Ziele!$B$5),ROUND(MAX(0,MIN(MAX(0,ROUND(Ziele!C11-C110,2)),IF(Ziele!E11="",MAX(0,ROUND(Ziele!C11-C110,2)),Ziele!E11),K42+B43-C43-SUM(E43:E43))),2),"")</f>
        <v>350</v>
      </c>
      <c r="G43" s="7" t="n">
        <f aca="false">IF(AND(Ziele!$B$18="Plan bereit",37&lt;=Ziele!$B$5),ROUND(MAX(0,MIN(MAX(0,ROUND(Ziele!C12-D110,2)),IF(Ziele!E12="",MAX(0,ROUND(Ziele!C12-D110,2)),Ziele!E12),K42+B43-C43-SUM(E43:F43))),2),"")</f>
        <v>0</v>
      </c>
      <c r="H43" s="7" t="n">
        <f aca="false">IF(AND(Ziele!$B$18="Plan bereit",37&lt;=Ziele!$B$5),ROUND(MAX(0,MIN(MAX(0,ROUND(Ziele!C13-E110,2)),IF(Ziele!E13="",MAX(0,ROUND(Ziele!C13-E110,2)),Ziele!E13),K42+B43-C43-SUM(E43:G43))),2),"")</f>
        <v>0</v>
      </c>
      <c r="I43" s="7" t="n">
        <f aca="false">IF(AND(Ziele!$B$18="Plan bereit",37&lt;=Ziele!$B$5),ROUND(MAX(0,MIN(MAX(0,ROUND(Ziele!C14-F110,2)),IF(Ziele!E14="",MAX(0,ROUND(Ziele!C14-F110,2)),Ziele!E14),K42+B43-C43-SUM(E43:H43))),2),"")</f>
        <v>0</v>
      </c>
      <c r="J43" s="7" t="n">
        <f aca="false">IF(AND(Ziele!$B$18="Plan bereit",37&lt;=Ziele!$B$5),ROUND(MAX(0,MIN(MAX(0,ROUND(Ziele!C15-G110,2)),IF(Ziele!E15="",MAX(0,ROUND(Ziele!C15-G110,2)),Ziele!E15),K42+B43-C43-SUM(E43:I43))),2),"")</f>
        <v>0</v>
      </c>
      <c r="K43" s="7" t="n">
        <f aca="false">IF(AND(Ziele!$B$18="Plan bereit",37&lt;=Ziele!$B$5),ROUND(K42+B43-C43-SUM(E43:J43),2),"")</f>
        <v>0</v>
      </c>
      <c r="L43" s="7" t="n">
        <f aca="false">IF(AND(Ziele!$B$18="Plan bereit",37&lt;=Ziele!$B$5),ROUND(Ziele!$B$4+SUM(B$7:B43)-SUM(C$7:C43)-H111-K43-Ziele!$B$21,2),"")</f>
        <v>0</v>
      </c>
    </row>
    <row r="44" customFormat="false" ht="22.5" hidden="false" customHeight="true" outlineLevel="0" collapsed="false">
      <c r="A44" s="6" t="n">
        <f aca="false">IF(AND(Ziele!$B$18="Plan bereit",38&lt;=Ziele!$B$5),38,"")</f>
        <v>38</v>
      </c>
      <c r="B44" s="7" t="n">
        <f aca="false">IF(AND(Ziele!$B$18="Plan bereit",38&lt;=Ziele!$B$5),Budgets!C47,"")</f>
        <v>500</v>
      </c>
      <c r="C44" s="7" t="n">
        <f aca="false">IF(AND(Ziele!$B$18="Plan bereit",38&lt;=Ziele!$B$5),ROUND(MIN(Budgets!D47,K43+B44),2),"")</f>
        <v>150</v>
      </c>
      <c r="D44" s="7" t="n">
        <f aca="false">IF(AND(Ziele!$B$18="Plan bereit",38&lt;=Ziele!$B$5),ROUND(Budgets!D47-C44,2),"")</f>
        <v>0</v>
      </c>
      <c r="E44" s="7" t="n">
        <f aca="false">IF(AND(Ziele!$B$18="Plan bereit",38&lt;=Ziele!$B$5),ROUND(MAX(0,MIN(MAX(0,ROUND(Ziele!C10-B111,2)),IF(Ziele!E10="",MAX(0,ROUND(Ziele!C10-B111,2)),Ziele!E10),K43+B44-C44-0)),2),"")</f>
        <v>0</v>
      </c>
      <c r="F44" s="7" t="n">
        <f aca="false">IF(AND(Ziele!$B$18="Plan bereit",38&lt;=Ziele!$B$5),ROUND(MAX(0,MIN(MAX(0,ROUND(Ziele!C11-C111,2)),IF(Ziele!E11="",MAX(0,ROUND(Ziele!C11-C111,2)),Ziele!E11),K43+B44-C44-SUM(E44:E44))),2),"")</f>
        <v>350</v>
      </c>
      <c r="G44" s="7" t="n">
        <f aca="false">IF(AND(Ziele!$B$18="Plan bereit",38&lt;=Ziele!$B$5),ROUND(MAX(0,MIN(MAX(0,ROUND(Ziele!C12-D111,2)),IF(Ziele!E12="",MAX(0,ROUND(Ziele!C12-D111,2)),Ziele!E12),K43+B44-C44-SUM(E44:F44))),2),"")</f>
        <v>0</v>
      </c>
      <c r="H44" s="7" t="n">
        <f aca="false">IF(AND(Ziele!$B$18="Plan bereit",38&lt;=Ziele!$B$5),ROUND(MAX(0,MIN(MAX(0,ROUND(Ziele!C13-E111,2)),IF(Ziele!E13="",MAX(0,ROUND(Ziele!C13-E111,2)),Ziele!E13),K43+B44-C44-SUM(E44:G44))),2),"")</f>
        <v>0</v>
      </c>
      <c r="I44" s="7" t="n">
        <f aca="false">IF(AND(Ziele!$B$18="Plan bereit",38&lt;=Ziele!$B$5),ROUND(MAX(0,MIN(MAX(0,ROUND(Ziele!C14-F111,2)),IF(Ziele!E14="",MAX(0,ROUND(Ziele!C14-F111,2)),Ziele!E14),K43+B44-C44-SUM(E44:H44))),2),"")</f>
        <v>0</v>
      </c>
      <c r="J44" s="7" t="n">
        <f aca="false">IF(AND(Ziele!$B$18="Plan bereit",38&lt;=Ziele!$B$5),ROUND(MAX(0,MIN(MAX(0,ROUND(Ziele!C15-G111,2)),IF(Ziele!E15="",MAX(0,ROUND(Ziele!C15-G111,2)),Ziele!E15),K43+B44-C44-SUM(E44:I44))),2),"")</f>
        <v>0</v>
      </c>
      <c r="K44" s="7" t="n">
        <f aca="false">IF(AND(Ziele!$B$18="Plan bereit",38&lt;=Ziele!$B$5),ROUND(K43+B44-C44-SUM(E44:J44),2),"")</f>
        <v>0</v>
      </c>
      <c r="L44" s="7" t="n">
        <f aca="false">IF(AND(Ziele!$B$18="Plan bereit",38&lt;=Ziele!$B$5),ROUND(Ziele!$B$4+SUM(B$7:B44)-SUM(C$7:C44)-H112-K44-Ziele!$B$21,2),"")</f>
        <v>0</v>
      </c>
    </row>
    <row r="45" customFormat="false" ht="22.5" hidden="false" customHeight="true" outlineLevel="0" collapsed="false">
      <c r="A45" s="6" t="n">
        <f aca="false">IF(AND(Ziele!$B$18="Plan bereit",39&lt;=Ziele!$B$5),39,"")</f>
        <v>39</v>
      </c>
      <c r="B45" s="7" t="n">
        <f aca="false">IF(AND(Ziele!$B$18="Plan bereit",39&lt;=Ziele!$B$5),Budgets!C48,"")</f>
        <v>500</v>
      </c>
      <c r="C45" s="7" t="n">
        <f aca="false">IF(AND(Ziele!$B$18="Plan bereit",39&lt;=Ziele!$B$5),ROUND(MIN(Budgets!D48,K44+B45),2),"")</f>
        <v>150</v>
      </c>
      <c r="D45" s="7" t="n">
        <f aca="false">IF(AND(Ziele!$B$18="Plan bereit",39&lt;=Ziele!$B$5),ROUND(Budgets!D48-C45,2),"")</f>
        <v>0</v>
      </c>
      <c r="E45" s="7" t="n">
        <f aca="false">IF(AND(Ziele!$B$18="Plan bereit",39&lt;=Ziele!$B$5),ROUND(MAX(0,MIN(MAX(0,ROUND(Ziele!C10-B112,2)),IF(Ziele!E10="",MAX(0,ROUND(Ziele!C10-B112,2)),Ziele!E10),K44+B45-C45-0)),2),"")</f>
        <v>0</v>
      </c>
      <c r="F45" s="7" t="n">
        <f aca="false">IF(AND(Ziele!$B$18="Plan bereit",39&lt;=Ziele!$B$5),ROUND(MAX(0,MIN(MAX(0,ROUND(Ziele!C11-C112,2)),IF(Ziele!E11="",MAX(0,ROUND(Ziele!C11-C112,2)),Ziele!E11),K44+B45-C45-SUM(E45:E45))),2),"")</f>
        <v>350</v>
      </c>
      <c r="G45" s="7" t="n">
        <f aca="false">IF(AND(Ziele!$B$18="Plan bereit",39&lt;=Ziele!$B$5),ROUND(MAX(0,MIN(MAX(0,ROUND(Ziele!C12-D112,2)),IF(Ziele!E12="",MAX(0,ROUND(Ziele!C12-D112,2)),Ziele!E12),K44+B45-C45-SUM(E45:F45))),2),"")</f>
        <v>0</v>
      </c>
      <c r="H45" s="7" t="n">
        <f aca="false">IF(AND(Ziele!$B$18="Plan bereit",39&lt;=Ziele!$B$5),ROUND(MAX(0,MIN(MAX(0,ROUND(Ziele!C13-E112,2)),IF(Ziele!E13="",MAX(0,ROUND(Ziele!C13-E112,2)),Ziele!E13),K44+B45-C45-SUM(E45:G45))),2),"")</f>
        <v>0</v>
      </c>
      <c r="I45" s="7" t="n">
        <f aca="false">IF(AND(Ziele!$B$18="Plan bereit",39&lt;=Ziele!$B$5),ROUND(MAX(0,MIN(MAX(0,ROUND(Ziele!C14-F112,2)),IF(Ziele!E14="",MAX(0,ROUND(Ziele!C14-F112,2)),Ziele!E14),K44+B45-C45-SUM(E45:H45))),2),"")</f>
        <v>0</v>
      </c>
      <c r="J45" s="7" t="n">
        <f aca="false">IF(AND(Ziele!$B$18="Plan bereit",39&lt;=Ziele!$B$5),ROUND(MAX(0,MIN(MAX(0,ROUND(Ziele!C15-G112,2)),IF(Ziele!E15="",MAX(0,ROUND(Ziele!C15-G112,2)),Ziele!E15),K44+B45-C45-SUM(E45:I45))),2),"")</f>
        <v>0</v>
      </c>
      <c r="K45" s="7" t="n">
        <f aca="false">IF(AND(Ziele!$B$18="Plan bereit",39&lt;=Ziele!$B$5),ROUND(K44+B45-C45-SUM(E45:J45),2),"")</f>
        <v>0</v>
      </c>
      <c r="L45" s="7" t="n">
        <f aca="false">IF(AND(Ziele!$B$18="Plan bereit",39&lt;=Ziele!$B$5),ROUND(Ziele!$B$4+SUM(B$7:B45)-SUM(C$7:C45)-H113-K45-Ziele!$B$21,2),"")</f>
        <v>0</v>
      </c>
    </row>
    <row r="46" customFormat="false" ht="22.5" hidden="false" customHeight="true" outlineLevel="0" collapsed="false">
      <c r="A46" s="6" t="n">
        <f aca="false">IF(AND(Ziele!$B$18="Plan bereit",40&lt;=Ziele!$B$5),40,"")</f>
        <v>40</v>
      </c>
      <c r="B46" s="7" t="n">
        <f aca="false">IF(AND(Ziele!$B$18="Plan bereit",40&lt;=Ziele!$B$5),Budgets!C49,"")</f>
        <v>500</v>
      </c>
      <c r="C46" s="7" t="n">
        <f aca="false">IF(AND(Ziele!$B$18="Plan bereit",40&lt;=Ziele!$B$5),ROUND(MIN(Budgets!D49,K45+B46),2),"")</f>
        <v>150</v>
      </c>
      <c r="D46" s="7" t="n">
        <f aca="false">IF(AND(Ziele!$B$18="Plan bereit",40&lt;=Ziele!$B$5),ROUND(Budgets!D49-C46,2),"")</f>
        <v>0</v>
      </c>
      <c r="E46" s="7" t="n">
        <f aca="false">IF(AND(Ziele!$B$18="Plan bereit",40&lt;=Ziele!$B$5),ROUND(MAX(0,MIN(MAX(0,ROUND(Ziele!C10-B113,2)),IF(Ziele!E10="",MAX(0,ROUND(Ziele!C10-B113,2)),Ziele!E10),K45+B46-C46-0)),2),"")</f>
        <v>0</v>
      </c>
      <c r="F46" s="7" t="n">
        <f aca="false">IF(AND(Ziele!$B$18="Plan bereit",40&lt;=Ziele!$B$5),ROUND(MAX(0,MIN(MAX(0,ROUND(Ziele!C11-C113,2)),IF(Ziele!E11="",MAX(0,ROUND(Ziele!C11-C113,2)),Ziele!E11),K45+B46-C46-SUM(E46:E46))),2),"")</f>
        <v>350</v>
      </c>
      <c r="G46" s="7" t="n">
        <f aca="false">IF(AND(Ziele!$B$18="Plan bereit",40&lt;=Ziele!$B$5),ROUND(MAX(0,MIN(MAX(0,ROUND(Ziele!C12-D113,2)),IF(Ziele!E12="",MAX(0,ROUND(Ziele!C12-D113,2)),Ziele!E12),K45+B46-C46-SUM(E46:F46))),2),"")</f>
        <v>0</v>
      </c>
      <c r="H46" s="7" t="n">
        <f aca="false">IF(AND(Ziele!$B$18="Plan bereit",40&lt;=Ziele!$B$5),ROUND(MAX(0,MIN(MAX(0,ROUND(Ziele!C13-E113,2)),IF(Ziele!E13="",MAX(0,ROUND(Ziele!C13-E113,2)),Ziele!E13),K45+B46-C46-SUM(E46:G46))),2),"")</f>
        <v>0</v>
      </c>
      <c r="I46" s="7" t="n">
        <f aca="false">IF(AND(Ziele!$B$18="Plan bereit",40&lt;=Ziele!$B$5),ROUND(MAX(0,MIN(MAX(0,ROUND(Ziele!C14-F113,2)),IF(Ziele!E14="",MAX(0,ROUND(Ziele!C14-F113,2)),Ziele!E14),K45+B46-C46-SUM(E46:H46))),2),"")</f>
        <v>0</v>
      </c>
      <c r="J46" s="7" t="n">
        <f aca="false">IF(AND(Ziele!$B$18="Plan bereit",40&lt;=Ziele!$B$5),ROUND(MAX(0,MIN(MAX(0,ROUND(Ziele!C15-G113,2)),IF(Ziele!E15="",MAX(0,ROUND(Ziele!C15-G113,2)),Ziele!E15),K45+B46-C46-SUM(E46:I46))),2),"")</f>
        <v>0</v>
      </c>
      <c r="K46" s="7" t="n">
        <f aca="false">IF(AND(Ziele!$B$18="Plan bereit",40&lt;=Ziele!$B$5),ROUND(K45+B46-C46-SUM(E46:J46),2),"")</f>
        <v>0</v>
      </c>
      <c r="L46" s="7" t="n">
        <f aca="false">IF(AND(Ziele!$B$18="Plan bereit",40&lt;=Ziele!$B$5),ROUND(Ziele!$B$4+SUM(B$7:B46)-SUM(C$7:C46)-H114-K46-Ziele!$B$21,2),"")</f>
        <v>0</v>
      </c>
    </row>
    <row r="47" customFormat="false" ht="22.5" hidden="false" customHeight="true" outlineLevel="0" collapsed="false">
      <c r="A47" s="6" t="n">
        <f aca="false">IF(AND(Ziele!$B$18="Plan bereit",41&lt;=Ziele!$B$5),41,"")</f>
        <v>41</v>
      </c>
      <c r="B47" s="7" t="n">
        <f aca="false">IF(AND(Ziele!$B$18="Plan bereit",41&lt;=Ziele!$B$5),Budgets!C50,"")</f>
        <v>500</v>
      </c>
      <c r="C47" s="7" t="n">
        <f aca="false">IF(AND(Ziele!$B$18="Plan bereit",41&lt;=Ziele!$B$5),ROUND(MIN(Budgets!D50,K46+B47),2),"")</f>
        <v>150</v>
      </c>
      <c r="D47" s="7" t="n">
        <f aca="false">IF(AND(Ziele!$B$18="Plan bereit",41&lt;=Ziele!$B$5),ROUND(Budgets!D50-C47,2),"")</f>
        <v>0</v>
      </c>
      <c r="E47" s="7" t="n">
        <f aca="false">IF(AND(Ziele!$B$18="Plan bereit",41&lt;=Ziele!$B$5),ROUND(MAX(0,MIN(MAX(0,ROUND(Ziele!C10-B114,2)),IF(Ziele!E10="",MAX(0,ROUND(Ziele!C10-B114,2)),Ziele!E10),K46+B47-C47-0)),2),"")</f>
        <v>0</v>
      </c>
      <c r="F47" s="7" t="n">
        <f aca="false">IF(AND(Ziele!$B$18="Plan bereit",41&lt;=Ziele!$B$5),ROUND(MAX(0,MIN(MAX(0,ROUND(Ziele!C11-C114,2)),IF(Ziele!E11="",MAX(0,ROUND(Ziele!C11-C114,2)),Ziele!E11),K46+B47-C47-SUM(E47:E47))),2),"")</f>
        <v>350</v>
      </c>
      <c r="G47" s="7" t="n">
        <f aca="false">IF(AND(Ziele!$B$18="Plan bereit",41&lt;=Ziele!$B$5),ROUND(MAX(0,MIN(MAX(0,ROUND(Ziele!C12-D114,2)),IF(Ziele!E12="",MAX(0,ROUND(Ziele!C12-D114,2)),Ziele!E12),K46+B47-C47-SUM(E47:F47))),2),"")</f>
        <v>0</v>
      </c>
      <c r="H47" s="7" t="n">
        <f aca="false">IF(AND(Ziele!$B$18="Plan bereit",41&lt;=Ziele!$B$5),ROUND(MAX(0,MIN(MAX(0,ROUND(Ziele!C13-E114,2)),IF(Ziele!E13="",MAX(0,ROUND(Ziele!C13-E114,2)),Ziele!E13),K46+B47-C47-SUM(E47:G47))),2),"")</f>
        <v>0</v>
      </c>
      <c r="I47" s="7" t="n">
        <f aca="false">IF(AND(Ziele!$B$18="Plan bereit",41&lt;=Ziele!$B$5),ROUND(MAX(0,MIN(MAX(0,ROUND(Ziele!C14-F114,2)),IF(Ziele!E14="",MAX(0,ROUND(Ziele!C14-F114,2)),Ziele!E14),K46+B47-C47-SUM(E47:H47))),2),"")</f>
        <v>0</v>
      </c>
      <c r="J47" s="7" t="n">
        <f aca="false">IF(AND(Ziele!$B$18="Plan bereit",41&lt;=Ziele!$B$5),ROUND(MAX(0,MIN(MAX(0,ROUND(Ziele!C15-G114,2)),IF(Ziele!E15="",MAX(0,ROUND(Ziele!C15-G114,2)),Ziele!E15),K46+B47-C47-SUM(E47:I47))),2),"")</f>
        <v>0</v>
      </c>
      <c r="K47" s="7" t="n">
        <f aca="false">IF(AND(Ziele!$B$18="Plan bereit",41&lt;=Ziele!$B$5),ROUND(K46+B47-C47-SUM(E47:J47),2),"")</f>
        <v>0</v>
      </c>
      <c r="L47" s="7" t="n">
        <f aca="false">IF(AND(Ziele!$B$18="Plan bereit",41&lt;=Ziele!$B$5),ROUND(Ziele!$B$4+SUM(B$7:B47)-SUM(C$7:C47)-H115-K47-Ziele!$B$21,2),"")</f>
        <v>0</v>
      </c>
    </row>
    <row r="48" customFormat="false" ht="22.5" hidden="false" customHeight="true" outlineLevel="0" collapsed="false">
      <c r="A48" s="6" t="n">
        <f aca="false">IF(AND(Ziele!$B$18="Plan bereit",42&lt;=Ziele!$B$5),42,"")</f>
        <v>42</v>
      </c>
      <c r="B48" s="7" t="n">
        <f aca="false">IF(AND(Ziele!$B$18="Plan bereit",42&lt;=Ziele!$B$5),Budgets!C51,"")</f>
        <v>500</v>
      </c>
      <c r="C48" s="7" t="n">
        <f aca="false">IF(AND(Ziele!$B$18="Plan bereit",42&lt;=Ziele!$B$5),ROUND(MIN(Budgets!D51,K47+B48),2),"")</f>
        <v>150</v>
      </c>
      <c r="D48" s="7" t="n">
        <f aca="false">IF(AND(Ziele!$B$18="Plan bereit",42&lt;=Ziele!$B$5),ROUND(Budgets!D51-C48,2),"")</f>
        <v>0</v>
      </c>
      <c r="E48" s="7" t="n">
        <f aca="false">IF(AND(Ziele!$B$18="Plan bereit",42&lt;=Ziele!$B$5),ROUND(MAX(0,MIN(MAX(0,ROUND(Ziele!C10-B115,2)),IF(Ziele!E10="",MAX(0,ROUND(Ziele!C10-B115,2)),Ziele!E10),K47+B48-C48-0)),2),"")</f>
        <v>0</v>
      </c>
      <c r="F48" s="7" t="n">
        <f aca="false">IF(AND(Ziele!$B$18="Plan bereit",42&lt;=Ziele!$B$5),ROUND(MAX(0,MIN(MAX(0,ROUND(Ziele!C11-C115,2)),IF(Ziele!E11="",MAX(0,ROUND(Ziele!C11-C115,2)),Ziele!E11),K47+B48-C48-SUM(E48:E48))),2),"")</f>
        <v>350</v>
      </c>
      <c r="G48" s="7" t="n">
        <f aca="false">IF(AND(Ziele!$B$18="Plan bereit",42&lt;=Ziele!$B$5),ROUND(MAX(0,MIN(MAX(0,ROUND(Ziele!C12-D115,2)),IF(Ziele!E12="",MAX(0,ROUND(Ziele!C12-D115,2)),Ziele!E12),K47+B48-C48-SUM(E48:F48))),2),"")</f>
        <v>0</v>
      </c>
      <c r="H48" s="7" t="n">
        <f aca="false">IF(AND(Ziele!$B$18="Plan bereit",42&lt;=Ziele!$B$5),ROUND(MAX(0,MIN(MAX(0,ROUND(Ziele!C13-E115,2)),IF(Ziele!E13="",MAX(0,ROUND(Ziele!C13-E115,2)),Ziele!E13),K47+B48-C48-SUM(E48:G48))),2),"")</f>
        <v>0</v>
      </c>
      <c r="I48" s="7" t="n">
        <f aca="false">IF(AND(Ziele!$B$18="Plan bereit",42&lt;=Ziele!$B$5),ROUND(MAX(0,MIN(MAX(0,ROUND(Ziele!C14-F115,2)),IF(Ziele!E14="",MAX(0,ROUND(Ziele!C14-F115,2)),Ziele!E14),K47+B48-C48-SUM(E48:H48))),2),"")</f>
        <v>0</v>
      </c>
      <c r="J48" s="7" t="n">
        <f aca="false">IF(AND(Ziele!$B$18="Plan bereit",42&lt;=Ziele!$B$5),ROUND(MAX(0,MIN(MAX(0,ROUND(Ziele!C15-G115,2)),IF(Ziele!E15="",MAX(0,ROUND(Ziele!C15-G115,2)),Ziele!E15),K47+B48-C48-SUM(E48:I48))),2),"")</f>
        <v>0</v>
      </c>
      <c r="K48" s="7" t="n">
        <f aca="false">IF(AND(Ziele!$B$18="Plan bereit",42&lt;=Ziele!$B$5),ROUND(K47+B48-C48-SUM(E48:J48),2),"")</f>
        <v>0</v>
      </c>
      <c r="L48" s="7" t="n">
        <f aca="false">IF(AND(Ziele!$B$18="Plan bereit",42&lt;=Ziele!$B$5),ROUND(Ziele!$B$4+SUM(B$7:B48)-SUM(C$7:C48)-H116-K48-Ziele!$B$21,2),"")</f>
        <v>0</v>
      </c>
    </row>
    <row r="49" customFormat="false" ht="22.5" hidden="false" customHeight="true" outlineLevel="0" collapsed="false">
      <c r="A49" s="6" t="n">
        <f aca="false">IF(AND(Ziele!$B$18="Plan bereit",43&lt;=Ziele!$B$5),43,"")</f>
        <v>43</v>
      </c>
      <c r="B49" s="7" t="n">
        <f aca="false">IF(AND(Ziele!$B$18="Plan bereit",43&lt;=Ziele!$B$5),Budgets!C52,"")</f>
        <v>500</v>
      </c>
      <c r="C49" s="7" t="n">
        <f aca="false">IF(AND(Ziele!$B$18="Plan bereit",43&lt;=Ziele!$B$5),ROUND(MIN(Budgets!D52,K48+B49),2),"")</f>
        <v>150</v>
      </c>
      <c r="D49" s="7" t="n">
        <f aca="false">IF(AND(Ziele!$B$18="Plan bereit",43&lt;=Ziele!$B$5),ROUND(Budgets!D52-C49,2),"")</f>
        <v>0</v>
      </c>
      <c r="E49" s="7" t="n">
        <f aca="false">IF(AND(Ziele!$B$18="Plan bereit",43&lt;=Ziele!$B$5),ROUND(MAX(0,MIN(MAX(0,ROUND(Ziele!C10-B116,2)),IF(Ziele!E10="",MAX(0,ROUND(Ziele!C10-B116,2)),Ziele!E10),K48+B49-C49-0)),2),"")</f>
        <v>0</v>
      </c>
      <c r="F49" s="7" t="n">
        <f aca="false">IF(AND(Ziele!$B$18="Plan bereit",43&lt;=Ziele!$B$5),ROUND(MAX(0,MIN(MAX(0,ROUND(Ziele!C11-C116,2)),IF(Ziele!E11="",MAX(0,ROUND(Ziele!C11-C116,2)),Ziele!E11),K48+B49-C49-SUM(E49:E49))),2),"")</f>
        <v>350</v>
      </c>
      <c r="G49" s="7" t="n">
        <f aca="false">IF(AND(Ziele!$B$18="Plan bereit",43&lt;=Ziele!$B$5),ROUND(MAX(0,MIN(MAX(0,ROUND(Ziele!C12-D116,2)),IF(Ziele!E12="",MAX(0,ROUND(Ziele!C12-D116,2)),Ziele!E12),K48+B49-C49-SUM(E49:F49))),2),"")</f>
        <v>0</v>
      </c>
      <c r="H49" s="7" t="n">
        <f aca="false">IF(AND(Ziele!$B$18="Plan bereit",43&lt;=Ziele!$B$5),ROUND(MAX(0,MIN(MAX(0,ROUND(Ziele!C13-E116,2)),IF(Ziele!E13="",MAX(0,ROUND(Ziele!C13-E116,2)),Ziele!E13),K48+B49-C49-SUM(E49:G49))),2),"")</f>
        <v>0</v>
      </c>
      <c r="I49" s="7" t="n">
        <f aca="false">IF(AND(Ziele!$B$18="Plan bereit",43&lt;=Ziele!$B$5),ROUND(MAX(0,MIN(MAX(0,ROUND(Ziele!C14-F116,2)),IF(Ziele!E14="",MAX(0,ROUND(Ziele!C14-F116,2)),Ziele!E14),K48+B49-C49-SUM(E49:H49))),2),"")</f>
        <v>0</v>
      </c>
      <c r="J49" s="7" t="n">
        <f aca="false">IF(AND(Ziele!$B$18="Plan bereit",43&lt;=Ziele!$B$5),ROUND(MAX(0,MIN(MAX(0,ROUND(Ziele!C15-G116,2)),IF(Ziele!E15="",MAX(0,ROUND(Ziele!C15-G116,2)),Ziele!E15),K48+B49-C49-SUM(E49:I49))),2),"")</f>
        <v>0</v>
      </c>
      <c r="K49" s="7" t="n">
        <f aca="false">IF(AND(Ziele!$B$18="Plan bereit",43&lt;=Ziele!$B$5),ROUND(K48+B49-C49-SUM(E49:J49),2),"")</f>
        <v>0</v>
      </c>
      <c r="L49" s="7" t="n">
        <f aca="false">IF(AND(Ziele!$B$18="Plan bereit",43&lt;=Ziele!$B$5),ROUND(Ziele!$B$4+SUM(B$7:B49)-SUM(C$7:C49)-H117-K49-Ziele!$B$21,2),"")</f>
        <v>0</v>
      </c>
    </row>
    <row r="50" customFormat="false" ht="22.5" hidden="false" customHeight="true" outlineLevel="0" collapsed="false">
      <c r="A50" s="6" t="n">
        <f aca="false">IF(AND(Ziele!$B$18="Plan bereit",44&lt;=Ziele!$B$5),44,"")</f>
        <v>44</v>
      </c>
      <c r="B50" s="7" t="n">
        <f aca="false">IF(AND(Ziele!$B$18="Plan bereit",44&lt;=Ziele!$B$5),Budgets!C53,"")</f>
        <v>500</v>
      </c>
      <c r="C50" s="7" t="n">
        <f aca="false">IF(AND(Ziele!$B$18="Plan bereit",44&lt;=Ziele!$B$5),ROUND(MIN(Budgets!D53,K49+B50),2),"")</f>
        <v>150</v>
      </c>
      <c r="D50" s="7" t="n">
        <f aca="false">IF(AND(Ziele!$B$18="Plan bereit",44&lt;=Ziele!$B$5),ROUND(Budgets!D53-C50,2),"")</f>
        <v>0</v>
      </c>
      <c r="E50" s="7" t="n">
        <f aca="false">IF(AND(Ziele!$B$18="Plan bereit",44&lt;=Ziele!$B$5),ROUND(MAX(0,MIN(MAX(0,ROUND(Ziele!C10-B117,2)),IF(Ziele!E10="",MAX(0,ROUND(Ziele!C10-B117,2)),Ziele!E10),K49+B50-C50-0)),2),"")</f>
        <v>0</v>
      </c>
      <c r="F50" s="7" t="n">
        <f aca="false">IF(AND(Ziele!$B$18="Plan bereit",44&lt;=Ziele!$B$5),ROUND(MAX(0,MIN(MAX(0,ROUND(Ziele!C11-C117,2)),IF(Ziele!E11="",MAX(0,ROUND(Ziele!C11-C117,2)),Ziele!E11),K49+B50-C50-SUM(E50:E50))),2),"")</f>
        <v>350</v>
      </c>
      <c r="G50" s="7" t="n">
        <f aca="false">IF(AND(Ziele!$B$18="Plan bereit",44&lt;=Ziele!$B$5),ROUND(MAX(0,MIN(MAX(0,ROUND(Ziele!C12-D117,2)),IF(Ziele!E12="",MAX(0,ROUND(Ziele!C12-D117,2)),Ziele!E12),K49+B50-C50-SUM(E50:F50))),2),"")</f>
        <v>0</v>
      </c>
      <c r="H50" s="7" t="n">
        <f aca="false">IF(AND(Ziele!$B$18="Plan bereit",44&lt;=Ziele!$B$5),ROUND(MAX(0,MIN(MAX(0,ROUND(Ziele!C13-E117,2)),IF(Ziele!E13="",MAX(0,ROUND(Ziele!C13-E117,2)),Ziele!E13),K49+B50-C50-SUM(E50:G50))),2),"")</f>
        <v>0</v>
      </c>
      <c r="I50" s="7" t="n">
        <f aca="false">IF(AND(Ziele!$B$18="Plan bereit",44&lt;=Ziele!$B$5),ROUND(MAX(0,MIN(MAX(0,ROUND(Ziele!C14-F117,2)),IF(Ziele!E14="",MAX(0,ROUND(Ziele!C14-F117,2)),Ziele!E14),K49+B50-C50-SUM(E50:H50))),2),"")</f>
        <v>0</v>
      </c>
      <c r="J50" s="7" t="n">
        <f aca="false">IF(AND(Ziele!$B$18="Plan bereit",44&lt;=Ziele!$B$5),ROUND(MAX(0,MIN(MAX(0,ROUND(Ziele!C15-G117,2)),IF(Ziele!E15="",MAX(0,ROUND(Ziele!C15-G117,2)),Ziele!E15),K49+B50-C50-SUM(E50:I50))),2),"")</f>
        <v>0</v>
      </c>
      <c r="K50" s="7" t="n">
        <f aca="false">IF(AND(Ziele!$B$18="Plan bereit",44&lt;=Ziele!$B$5),ROUND(K49+B50-C50-SUM(E50:J50),2),"")</f>
        <v>0</v>
      </c>
      <c r="L50" s="7" t="n">
        <f aca="false">IF(AND(Ziele!$B$18="Plan bereit",44&lt;=Ziele!$B$5),ROUND(Ziele!$B$4+SUM(B$7:B50)-SUM(C$7:C50)-H118-K50-Ziele!$B$21,2),"")</f>
        <v>0</v>
      </c>
    </row>
    <row r="51" customFormat="false" ht="22.5" hidden="false" customHeight="true" outlineLevel="0" collapsed="false">
      <c r="A51" s="6" t="n">
        <f aca="false">IF(AND(Ziele!$B$18="Plan bereit",45&lt;=Ziele!$B$5),45,"")</f>
        <v>45</v>
      </c>
      <c r="B51" s="7" t="n">
        <f aca="false">IF(AND(Ziele!$B$18="Plan bereit",45&lt;=Ziele!$B$5),Budgets!C54,"")</f>
        <v>500</v>
      </c>
      <c r="C51" s="7" t="n">
        <f aca="false">IF(AND(Ziele!$B$18="Plan bereit",45&lt;=Ziele!$B$5),ROUND(MIN(Budgets!D54,K50+B51),2),"")</f>
        <v>150</v>
      </c>
      <c r="D51" s="7" t="n">
        <f aca="false">IF(AND(Ziele!$B$18="Plan bereit",45&lt;=Ziele!$B$5),ROUND(Budgets!D54-C51,2),"")</f>
        <v>0</v>
      </c>
      <c r="E51" s="7" t="n">
        <f aca="false">IF(AND(Ziele!$B$18="Plan bereit",45&lt;=Ziele!$B$5),ROUND(MAX(0,MIN(MAX(0,ROUND(Ziele!C10-B118,2)),IF(Ziele!E10="",MAX(0,ROUND(Ziele!C10-B118,2)),Ziele!E10),K50+B51-C51-0)),2),"")</f>
        <v>0</v>
      </c>
      <c r="F51" s="7" t="n">
        <f aca="false">IF(AND(Ziele!$B$18="Plan bereit",45&lt;=Ziele!$B$5),ROUND(MAX(0,MIN(MAX(0,ROUND(Ziele!C11-C118,2)),IF(Ziele!E11="",MAX(0,ROUND(Ziele!C11-C118,2)),Ziele!E11),K50+B51-C51-SUM(E51:E51))),2),"")</f>
        <v>350</v>
      </c>
      <c r="G51" s="7" t="n">
        <f aca="false">IF(AND(Ziele!$B$18="Plan bereit",45&lt;=Ziele!$B$5),ROUND(MAX(0,MIN(MAX(0,ROUND(Ziele!C12-D118,2)),IF(Ziele!E12="",MAX(0,ROUND(Ziele!C12-D118,2)),Ziele!E12),K50+B51-C51-SUM(E51:F51))),2),"")</f>
        <v>0</v>
      </c>
      <c r="H51" s="7" t="n">
        <f aca="false">IF(AND(Ziele!$B$18="Plan bereit",45&lt;=Ziele!$B$5),ROUND(MAX(0,MIN(MAX(0,ROUND(Ziele!C13-E118,2)),IF(Ziele!E13="",MAX(0,ROUND(Ziele!C13-E118,2)),Ziele!E13),K50+B51-C51-SUM(E51:G51))),2),"")</f>
        <v>0</v>
      </c>
      <c r="I51" s="7" t="n">
        <f aca="false">IF(AND(Ziele!$B$18="Plan bereit",45&lt;=Ziele!$B$5),ROUND(MAX(0,MIN(MAX(0,ROUND(Ziele!C14-F118,2)),IF(Ziele!E14="",MAX(0,ROUND(Ziele!C14-F118,2)),Ziele!E14),K50+B51-C51-SUM(E51:H51))),2),"")</f>
        <v>0</v>
      </c>
      <c r="J51" s="7" t="n">
        <f aca="false">IF(AND(Ziele!$B$18="Plan bereit",45&lt;=Ziele!$B$5),ROUND(MAX(0,MIN(MAX(0,ROUND(Ziele!C15-G118,2)),IF(Ziele!E15="",MAX(0,ROUND(Ziele!C15-G118,2)),Ziele!E15),K50+B51-C51-SUM(E51:I51))),2),"")</f>
        <v>0</v>
      </c>
      <c r="K51" s="7" t="n">
        <f aca="false">IF(AND(Ziele!$B$18="Plan bereit",45&lt;=Ziele!$B$5),ROUND(K50+B51-C51-SUM(E51:J51),2),"")</f>
        <v>0</v>
      </c>
      <c r="L51" s="7" t="n">
        <f aca="false">IF(AND(Ziele!$B$18="Plan bereit",45&lt;=Ziele!$B$5),ROUND(Ziele!$B$4+SUM(B$7:B51)-SUM(C$7:C51)-H119-K51-Ziele!$B$21,2),"")</f>
        <v>0</v>
      </c>
    </row>
    <row r="52" customFormat="false" ht="22.5" hidden="false" customHeight="true" outlineLevel="0" collapsed="false">
      <c r="A52" s="6" t="n">
        <f aca="false">IF(AND(Ziele!$B$18="Plan bereit",46&lt;=Ziele!$B$5),46,"")</f>
        <v>46</v>
      </c>
      <c r="B52" s="7" t="n">
        <f aca="false">IF(AND(Ziele!$B$18="Plan bereit",46&lt;=Ziele!$B$5),Budgets!C55,"")</f>
        <v>500</v>
      </c>
      <c r="C52" s="7" t="n">
        <f aca="false">IF(AND(Ziele!$B$18="Plan bereit",46&lt;=Ziele!$B$5),ROUND(MIN(Budgets!D55,K51+B52),2),"")</f>
        <v>150</v>
      </c>
      <c r="D52" s="7" t="n">
        <f aca="false">IF(AND(Ziele!$B$18="Plan bereit",46&lt;=Ziele!$B$5),ROUND(Budgets!D55-C52,2),"")</f>
        <v>0</v>
      </c>
      <c r="E52" s="7" t="n">
        <f aca="false">IF(AND(Ziele!$B$18="Plan bereit",46&lt;=Ziele!$B$5),ROUND(MAX(0,MIN(MAX(0,ROUND(Ziele!C10-B119,2)),IF(Ziele!E10="",MAX(0,ROUND(Ziele!C10-B119,2)),Ziele!E10),K51+B52-C52-0)),2),"")</f>
        <v>0</v>
      </c>
      <c r="F52" s="7" t="n">
        <f aca="false">IF(AND(Ziele!$B$18="Plan bereit",46&lt;=Ziele!$B$5),ROUND(MAX(0,MIN(MAX(0,ROUND(Ziele!C11-C119,2)),IF(Ziele!E11="",MAX(0,ROUND(Ziele!C11-C119,2)),Ziele!E11),K51+B52-C52-SUM(E52:E52))),2),"")</f>
        <v>350</v>
      </c>
      <c r="G52" s="7" t="n">
        <f aca="false">IF(AND(Ziele!$B$18="Plan bereit",46&lt;=Ziele!$B$5),ROUND(MAX(0,MIN(MAX(0,ROUND(Ziele!C12-D119,2)),IF(Ziele!E12="",MAX(0,ROUND(Ziele!C12-D119,2)),Ziele!E12),K51+B52-C52-SUM(E52:F52))),2),"")</f>
        <v>0</v>
      </c>
      <c r="H52" s="7" t="n">
        <f aca="false">IF(AND(Ziele!$B$18="Plan bereit",46&lt;=Ziele!$B$5),ROUND(MAX(0,MIN(MAX(0,ROUND(Ziele!C13-E119,2)),IF(Ziele!E13="",MAX(0,ROUND(Ziele!C13-E119,2)),Ziele!E13),K51+B52-C52-SUM(E52:G52))),2),"")</f>
        <v>0</v>
      </c>
      <c r="I52" s="7" t="n">
        <f aca="false">IF(AND(Ziele!$B$18="Plan bereit",46&lt;=Ziele!$B$5),ROUND(MAX(0,MIN(MAX(0,ROUND(Ziele!C14-F119,2)),IF(Ziele!E14="",MAX(0,ROUND(Ziele!C14-F119,2)),Ziele!E14),K51+B52-C52-SUM(E52:H52))),2),"")</f>
        <v>0</v>
      </c>
      <c r="J52" s="7" t="n">
        <f aca="false">IF(AND(Ziele!$B$18="Plan bereit",46&lt;=Ziele!$B$5),ROUND(MAX(0,MIN(MAX(0,ROUND(Ziele!C15-G119,2)),IF(Ziele!E15="",MAX(0,ROUND(Ziele!C15-G119,2)),Ziele!E15),K51+B52-C52-SUM(E52:I52))),2),"")</f>
        <v>0</v>
      </c>
      <c r="K52" s="7" t="n">
        <f aca="false">IF(AND(Ziele!$B$18="Plan bereit",46&lt;=Ziele!$B$5),ROUND(K51+B52-C52-SUM(E52:J52),2),"")</f>
        <v>0</v>
      </c>
      <c r="L52" s="7" t="n">
        <f aca="false">IF(AND(Ziele!$B$18="Plan bereit",46&lt;=Ziele!$B$5),ROUND(Ziele!$B$4+SUM(B$7:B52)-SUM(C$7:C52)-H120-K52-Ziele!$B$21,2),"")</f>
        <v>0</v>
      </c>
    </row>
    <row r="53" customFormat="false" ht="22.5" hidden="false" customHeight="true" outlineLevel="0" collapsed="false">
      <c r="A53" s="6" t="n">
        <f aca="false">IF(AND(Ziele!$B$18="Plan bereit",47&lt;=Ziele!$B$5),47,"")</f>
        <v>47</v>
      </c>
      <c r="B53" s="7" t="n">
        <f aca="false">IF(AND(Ziele!$B$18="Plan bereit",47&lt;=Ziele!$B$5),Budgets!C56,"")</f>
        <v>500</v>
      </c>
      <c r="C53" s="7" t="n">
        <f aca="false">IF(AND(Ziele!$B$18="Plan bereit",47&lt;=Ziele!$B$5),ROUND(MIN(Budgets!D56,K52+B53),2),"")</f>
        <v>150</v>
      </c>
      <c r="D53" s="7" t="n">
        <f aca="false">IF(AND(Ziele!$B$18="Plan bereit",47&lt;=Ziele!$B$5),ROUND(Budgets!D56-C53,2),"")</f>
        <v>0</v>
      </c>
      <c r="E53" s="7" t="n">
        <f aca="false">IF(AND(Ziele!$B$18="Plan bereit",47&lt;=Ziele!$B$5),ROUND(MAX(0,MIN(MAX(0,ROUND(Ziele!C10-B120,2)),IF(Ziele!E10="",MAX(0,ROUND(Ziele!C10-B120,2)),Ziele!E10),K52+B53-C53-0)),2),"")</f>
        <v>0</v>
      </c>
      <c r="F53" s="7" t="n">
        <f aca="false">IF(AND(Ziele!$B$18="Plan bereit",47&lt;=Ziele!$B$5),ROUND(MAX(0,MIN(MAX(0,ROUND(Ziele!C11-C120,2)),IF(Ziele!E11="",MAX(0,ROUND(Ziele!C11-C120,2)),Ziele!E11),K52+B53-C53-SUM(E53:E53))),2),"")</f>
        <v>350</v>
      </c>
      <c r="G53" s="7" t="n">
        <f aca="false">IF(AND(Ziele!$B$18="Plan bereit",47&lt;=Ziele!$B$5),ROUND(MAX(0,MIN(MAX(0,ROUND(Ziele!C12-D120,2)),IF(Ziele!E12="",MAX(0,ROUND(Ziele!C12-D120,2)),Ziele!E12),K52+B53-C53-SUM(E53:F53))),2),"")</f>
        <v>0</v>
      </c>
      <c r="H53" s="7" t="n">
        <f aca="false">IF(AND(Ziele!$B$18="Plan bereit",47&lt;=Ziele!$B$5),ROUND(MAX(0,MIN(MAX(0,ROUND(Ziele!C13-E120,2)),IF(Ziele!E13="",MAX(0,ROUND(Ziele!C13-E120,2)),Ziele!E13),K52+B53-C53-SUM(E53:G53))),2),"")</f>
        <v>0</v>
      </c>
      <c r="I53" s="7" t="n">
        <f aca="false">IF(AND(Ziele!$B$18="Plan bereit",47&lt;=Ziele!$B$5),ROUND(MAX(0,MIN(MAX(0,ROUND(Ziele!C14-F120,2)),IF(Ziele!E14="",MAX(0,ROUND(Ziele!C14-F120,2)),Ziele!E14),K52+B53-C53-SUM(E53:H53))),2),"")</f>
        <v>0</v>
      </c>
      <c r="J53" s="7" t="n">
        <f aca="false">IF(AND(Ziele!$B$18="Plan bereit",47&lt;=Ziele!$B$5),ROUND(MAX(0,MIN(MAX(0,ROUND(Ziele!C15-G120,2)),IF(Ziele!E15="",MAX(0,ROUND(Ziele!C15-G120,2)),Ziele!E15),K52+B53-C53-SUM(E53:I53))),2),"")</f>
        <v>0</v>
      </c>
      <c r="K53" s="7" t="n">
        <f aca="false">IF(AND(Ziele!$B$18="Plan bereit",47&lt;=Ziele!$B$5),ROUND(K52+B53-C53-SUM(E53:J53),2),"")</f>
        <v>0</v>
      </c>
      <c r="L53" s="7" t="n">
        <f aca="false">IF(AND(Ziele!$B$18="Plan bereit",47&lt;=Ziele!$B$5),ROUND(Ziele!$B$4+SUM(B$7:B53)-SUM(C$7:C53)-H121-K53-Ziele!$B$21,2),"")</f>
        <v>0</v>
      </c>
    </row>
    <row r="54" customFormat="false" ht="22.5" hidden="false" customHeight="true" outlineLevel="0" collapsed="false">
      <c r="A54" s="6" t="n">
        <f aca="false">IF(AND(Ziele!$B$18="Plan bereit",48&lt;=Ziele!$B$5),48,"")</f>
        <v>48</v>
      </c>
      <c r="B54" s="7" t="n">
        <f aca="false">IF(AND(Ziele!$B$18="Plan bereit",48&lt;=Ziele!$B$5),Budgets!C57,"")</f>
        <v>500</v>
      </c>
      <c r="C54" s="7" t="n">
        <f aca="false">IF(AND(Ziele!$B$18="Plan bereit",48&lt;=Ziele!$B$5),ROUND(MIN(Budgets!D57,K53+B54),2),"")</f>
        <v>150</v>
      </c>
      <c r="D54" s="7" t="n">
        <f aca="false">IF(AND(Ziele!$B$18="Plan bereit",48&lt;=Ziele!$B$5),ROUND(Budgets!D57-C54,2),"")</f>
        <v>0</v>
      </c>
      <c r="E54" s="7" t="n">
        <f aca="false">IF(AND(Ziele!$B$18="Plan bereit",48&lt;=Ziele!$B$5),ROUND(MAX(0,MIN(MAX(0,ROUND(Ziele!C10-B121,2)),IF(Ziele!E10="",MAX(0,ROUND(Ziele!C10-B121,2)),Ziele!E10),K53+B54-C54-0)),2),"")</f>
        <v>0</v>
      </c>
      <c r="F54" s="7" t="n">
        <f aca="false">IF(AND(Ziele!$B$18="Plan bereit",48&lt;=Ziele!$B$5),ROUND(MAX(0,MIN(MAX(0,ROUND(Ziele!C11-C121,2)),IF(Ziele!E11="",MAX(0,ROUND(Ziele!C11-C121,2)),Ziele!E11),K53+B54-C54-SUM(E54:E54))),2),"")</f>
        <v>350</v>
      </c>
      <c r="G54" s="7" t="n">
        <f aca="false">IF(AND(Ziele!$B$18="Plan bereit",48&lt;=Ziele!$B$5),ROUND(MAX(0,MIN(MAX(0,ROUND(Ziele!C12-D121,2)),IF(Ziele!E12="",MAX(0,ROUND(Ziele!C12-D121,2)),Ziele!E12),K53+B54-C54-SUM(E54:F54))),2),"")</f>
        <v>0</v>
      </c>
      <c r="H54" s="7" t="n">
        <f aca="false">IF(AND(Ziele!$B$18="Plan bereit",48&lt;=Ziele!$B$5),ROUND(MAX(0,MIN(MAX(0,ROUND(Ziele!C13-E121,2)),IF(Ziele!E13="",MAX(0,ROUND(Ziele!C13-E121,2)),Ziele!E13),K53+B54-C54-SUM(E54:G54))),2),"")</f>
        <v>0</v>
      </c>
      <c r="I54" s="7" t="n">
        <f aca="false">IF(AND(Ziele!$B$18="Plan bereit",48&lt;=Ziele!$B$5),ROUND(MAX(0,MIN(MAX(0,ROUND(Ziele!C14-F121,2)),IF(Ziele!E14="",MAX(0,ROUND(Ziele!C14-F121,2)),Ziele!E14),K53+B54-C54-SUM(E54:H54))),2),"")</f>
        <v>0</v>
      </c>
      <c r="J54" s="7" t="n">
        <f aca="false">IF(AND(Ziele!$B$18="Plan bereit",48&lt;=Ziele!$B$5),ROUND(MAX(0,MIN(MAX(0,ROUND(Ziele!C15-G121,2)),IF(Ziele!E15="",MAX(0,ROUND(Ziele!C15-G121,2)),Ziele!E15),K53+B54-C54-SUM(E54:I54))),2),"")</f>
        <v>0</v>
      </c>
      <c r="K54" s="7" t="n">
        <f aca="false">IF(AND(Ziele!$B$18="Plan bereit",48&lt;=Ziele!$B$5),ROUND(K53+B54-C54-SUM(E54:J54),2),"")</f>
        <v>0</v>
      </c>
      <c r="L54" s="7" t="n">
        <f aca="false">IF(AND(Ziele!$B$18="Plan bereit",48&lt;=Ziele!$B$5),ROUND(Ziele!$B$4+SUM(B$7:B54)-SUM(C$7:C54)-H122-K54-Ziele!$B$21,2),"")</f>
        <v>0</v>
      </c>
    </row>
    <row r="55" customFormat="false" ht="22.5" hidden="false" customHeight="true" outlineLevel="0" collapsed="false">
      <c r="A55" s="6" t="str">
        <f aca="false">IF(AND(Ziele!$B$18="Plan bereit",49&lt;=Ziele!$B$5),49,"")</f>
        <v/>
      </c>
      <c r="B55" s="7" t="str">
        <f aca="false">IF(AND(Ziele!$B$18="Plan bereit",49&lt;=Ziele!$B$5),Budgets!C58,"")</f>
        <v/>
      </c>
      <c r="C55" s="7" t="str">
        <f aca="false">IF(AND(Ziele!$B$18="Plan bereit",49&lt;=Ziele!$B$5),ROUND(MIN(Budgets!D58,K54+B55),2),"")</f>
        <v/>
      </c>
      <c r="D55" s="7" t="str">
        <f aca="false">IF(AND(Ziele!$B$18="Plan bereit",49&lt;=Ziele!$B$5),ROUND(Budgets!D58-C55,2),"")</f>
        <v/>
      </c>
      <c r="E55" s="7" t="str">
        <f aca="false">IF(AND(Ziele!$B$18="Plan bereit",49&lt;=Ziele!$B$5),ROUND(MAX(0,MIN(MAX(0,ROUND(Ziele!C10-B122,2)),IF(Ziele!E10="",MAX(0,ROUND(Ziele!C10-B122,2)),Ziele!E10),K54+B55-C55-0)),2),"")</f>
        <v/>
      </c>
      <c r="F55" s="7" t="str">
        <f aca="false">IF(AND(Ziele!$B$18="Plan bereit",49&lt;=Ziele!$B$5),ROUND(MAX(0,MIN(MAX(0,ROUND(Ziele!C11-C122,2)),IF(Ziele!E11="",MAX(0,ROUND(Ziele!C11-C122,2)),Ziele!E11),K54+B55-C55-SUM(E55:E55))),2),"")</f>
        <v/>
      </c>
      <c r="G55" s="7" t="str">
        <f aca="false">IF(AND(Ziele!$B$18="Plan bereit",49&lt;=Ziele!$B$5),ROUND(MAX(0,MIN(MAX(0,ROUND(Ziele!C12-D122,2)),IF(Ziele!E12="",MAX(0,ROUND(Ziele!C12-D122,2)),Ziele!E12),K54+B55-C55-SUM(E55:F55))),2),"")</f>
        <v/>
      </c>
      <c r="H55" s="7" t="str">
        <f aca="false">IF(AND(Ziele!$B$18="Plan bereit",49&lt;=Ziele!$B$5),ROUND(MAX(0,MIN(MAX(0,ROUND(Ziele!C13-E122,2)),IF(Ziele!E13="",MAX(0,ROUND(Ziele!C13-E122,2)),Ziele!E13),K54+B55-C55-SUM(E55:G55))),2),"")</f>
        <v/>
      </c>
      <c r="I55" s="7" t="str">
        <f aca="false">IF(AND(Ziele!$B$18="Plan bereit",49&lt;=Ziele!$B$5),ROUND(MAX(0,MIN(MAX(0,ROUND(Ziele!C14-F122,2)),IF(Ziele!E14="",MAX(0,ROUND(Ziele!C14-F122,2)),Ziele!E14),K54+B55-C55-SUM(E55:H55))),2),"")</f>
        <v/>
      </c>
      <c r="J55" s="7" t="str">
        <f aca="false">IF(AND(Ziele!$B$18="Plan bereit",49&lt;=Ziele!$B$5),ROUND(MAX(0,MIN(MAX(0,ROUND(Ziele!C15-G122,2)),IF(Ziele!E15="",MAX(0,ROUND(Ziele!C15-G122,2)),Ziele!E15),K54+B55-C55-SUM(E55:I55))),2),"")</f>
        <v/>
      </c>
      <c r="K55" s="7" t="str">
        <f aca="false">IF(AND(Ziele!$B$18="Plan bereit",49&lt;=Ziele!$B$5),ROUND(K54+B55-C55-SUM(E55:J55),2),"")</f>
        <v/>
      </c>
      <c r="L55" s="7" t="str">
        <f aca="false">IF(AND(Ziele!$B$18="Plan bereit",49&lt;=Ziele!$B$5),ROUND(Ziele!$B$4+SUM(B$7:B55)-SUM(C$7:C55)-H123-K55-Ziele!$B$21,2),"")</f>
        <v/>
      </c>
    </row>
    <row r="56" customFormat="false" ht="22.5" hidden="false" customHeight="true" outlineLevel="0" collapsed="false">
      <c r="A56" s="6" t="str">
        <f aca="false">IF(AND(Ziele!$B$18="Plan bereit",50&lt;=Ziele!$B$5),50,"")</f>
        <v/>
      </c>
      <c r="B56" s="7" t="str">
        <f aca="false">IF(AND(Ziele!$B$18="Plan bereit",50&lt;=Ziele!$B$5),Budgets!C59,"")</f>
        <v/>
      </c>
      <c r="C56" s="7" t="str">
        <f aca="false">IF(AND(Ziele!$B$18="Plan bereit",50&lt;=Ziele!$B$5),ROUND(MIN(Budgets!D59,K55+B56),2),"")</f>
        <v/>
      </c>
      <c r="D56" s="7" t="str">
        <f aca="false">IF(AND(Ziele!$B$18="Plan bereit",50&lt;=Ziele!$B$5),ROUND(Budgets!D59-C56,2),"")</f>
        <v/>
      </c>
      <c r="E56" s="7" t="str">
        <f aca="false">IF(AND(Ziele!$B$18="Plan bereit",50&lt;=Ziele!$B$5),ROUND(MAX(0,MIN(MAX(0,ROUND(Ziele!C10-B123,2)),IF(Ziele!E10="",MAX(0,ROUND(Ziele!C10-B123,2)),Ziele!E10),K55+B56-C56-0)),2),"")</f>
        <v/>
      </c>
      <c r="F56" s="7" t="str">
        <f aca="false">IF(AND(Ziele!$B$18="Plan bereit",50&lt;=Ziele!$B$5),ROUND(MAX(0,MIN(MAX(0,ROUND(Ziele!C11-C123,2)),IF(Ziele!E11="",MAX(0,ROUND(Ziele!C11-C123,2)),Ziele!E11),K55+B56-C56-SUM(E56:E56))),2),"")</f>
        <v/>
      </c>
      <c r="G56" s="7" t="str">
        <f aca="false">IF(AND(Ziele!$B$18="Plan bereit",50&lt;=Ziele!$B$5),ROUND(MAX(0,MIN(MAX(0,ROUND(Ziele!C12-D123,2)),IF(Ziele!E12="",MAX(0,ROUND(Ziele!C12-D123,2)),Ziele!E12),K55+B56-C56-SUM(E56:F56))),2),"")</f>
        <v/>
      </c>
      <c r="H56" s="7" t="str">
        <f aca="false">IF(AND(Ziele!$B$18="Plan bereit",50&lt;=Ziele!$B$5),ROUND(MAX(0,MIN(MAX(0,ROUND(Ziele!C13-E123,2)),IF(Ziele!E13="",MAX(0,ROUND(Ziele!C13-E123,2)),Ziele!E13),K55+B56-C56-SUM(E56:G56))),2),"")</f>
        <v/>
      </c>
      <c r="I56" s="7" t="str">
        <f aca="false">IF(AND(Ziele!$B$18="Plan bereit",50&lt;=Ziele!$B$5),ROUND(MAX(0,MIN(MAX(0,ROUND(Ziele!C14-F123,2)),IF(Ziele!E14="",MAX(0,ROUND(Ziele!C14-F123,2)),Ziele!E14),K55+B56-C56-SUM(E56:H56))),2),"")</f>
        <v/>
      </c>
      <c r="J56" s="7" t="str">
        <f aca="false">IF(AND(Ziele!$B$18="Plan bereit",50&lt;=Ziele!$B$5),ROUND(MAX(0,MIN(MAX(0,ROUND(Ziele!C15-G123,2)),IF(Ziele!E15="",MAX(0,ROUND(Ziele!C15-G123,2)),Ziele!E15),K55+B56-C56-SUM(E56:I56))),2),"")</f>
        <v/>
      </c>
      <c r="K56" s="7" t="str">
        <f aca="false">IF(AND(Ziele!$B$18="Plan bereit",50&lt;=Ziele!$B$5),ROUND(K55+B56-C56-SUM(E56:J56),2),"")</f>
        <v/>
      </c>
      <c r="L56" s="7" t="str">
        <f aca="false">IF(AND(Ziele!$B$18="Plan bereit",50&lt;=Ziele!$B$5),ROUND(Ziele!$B$4+SUM(B$7:B56)-SUM(C$7:C56)-H124-K56-Ziele!$B$21,2),"")</f>
        <v/>
      </c>
    </row>
    <row r="57" customFormat="false" ht="22.5" hidden="false" customHeight="true" outlineLevel="0" collapsed="false">
      <c r="A57" s="6" t="str">
        <f aca="false">IF(AND(Ziele!$B$18="Plan bereit",51&lt;=Ziele!$B$5),51,"")</f>
        <v/>
      </c>
      <c r="B57" s="7" t="str">
        <f aca="false">IF(AND(Ziele!$B$18="Plan bereit",51&lt;=Ziele!$B$5),Budgets!C60,"")</f>
        <v/>
      </c>
      <c r="C57" s="7" t="str">
        <f aca="false">IF(AND(Ziele!$B$18="Plan bereit",51&lt;=Ziele!$B$5),ROUND(MIN(Budgets!D60,K56+B57),2),"")</f>
        <v/>
      </c>
      <c r="D57" s="7" t="str">
        <f aca="false">IF(AND(Ziele!$B$18="Plan bereit",51&lt;=Ziele!$B$5),ROUND(Budgets!D60-C57,2),"")</f>
        <v/>
      </c>
      <c r="E57" s="7" t="str">
        <f aca="false">IF(AND(Ziele!$B$18="Plan bereit",51&lt;=Ziele!$B$5),ROUND(MAX(0,MIN(MAX(0,ROUND(Ziele!C10-B124,2)),IF(Ziele!E10="",MAX(0,ROUND(Ziele!C10-B124,2)),Ziele!E10),K56+B57-C57-0)),2),"")</f>
        <v/>
      </c>
      <c r="F57" s="7" t="str">
        <f aca="false">IF(AND(Ziele!$B$18="Plan bereit",51&lt;=Ziele!$B$5),ROUND(MAX(0,MIN(MAX(0,ROUND(Ziele!C11-C124,2)),IF(Ziele!E11="",MAX(0,ROUND(Ziele!C11-C124,2)),Ziele!E11),K56+B57-C57-SUM(E57:E57))),2),"")</f>
        <v/>
      </c>
      <c r="G57" s="7" t="str">
        <f aca="false">IF(AND(Ziele!$B$18="Plan bereit",51&lt;=Ziele!$B$5),ROUND(MAX(0,MIN(MAX(0,ROUND(Ziele!C12-D124,2)),IF(Ziele!E12="",MAX(0,ROUND(Ziele!C12-D124,2)),Ziele!E12),K56+B57-C57-SUM(E57:F57))),2),"")</f>
        <v/>
      </c>
      <c r="H57" s="7" t="str">
        <f aca="false">IF(AND(Ziele!$B$18="Plan bereit",51&lt;=Ziele!$B$5),ROUND(MAX(0,MIN(MAX(0,ROUND(Ziele!C13-E124,2)),IF(Ziele!E13="",MAX(0,ROUND(Ziele!C13-E124,2)),Ziele!E13),K56+B57-C57-SUM(E57:G57))),2),"")</f>
        <v/>
      </c>
      <c r="I57" s="7" t="str">
        <f aca="false">IF(AND(Ziele!$B$18="Plan bereit",51&lt;=Ziele!$B$5),ROUND(MAX(0,MIN(MAX(0,ROUND(Ziele!C14-F124,2)),IF(Ziele!E14="",MAX(0,ROUND(Ziele!C14-F124,2)),Ziele!E14),K56+B57-C57-SUM(E57:H57))),2),"")</f>
        <v/>
      </c>
      <c r="J57" s="7" t="str">
        <f aca="false">IF(AND(Ziele!$B$18="Plan bereit",51&lt;=Ziele!$B$5),ROUND(MAX(0,MIN(MAX(0,ROUND(Ziele!C15-G124,2)),IF(Ziele!E15="",MAX(0,ROUND(Ziele!C15-G124,2)),Ziele!E15),K56+B57-C57-SUM(E57:I57))),2),"")</f>
        <v/>
      </c>
      <c r="K57" s="7" t="str">
        <f aca="false">IF(AND(Ziele!$B$18="Plan bereit",51&lt;=Ziele!$B$5),ROUND(K56+B57-C57-SUM(E57:J57),2),"")</f>
        <v/>
      </c>
      <c r="L57" s="7" t="str">
        <f aca="false">IF(AND(Ziele!$B$18="Plan bereit",51&lt;=Ziele!$B$5),ROUND(Ziele!$B$4+SUM(B$7:B57)-SUM(C$7:C57)-H125-K57-Ziele!$B$21,2),"")</f>
        <v/>
      </c>
    </row>
    <row r="58" customFormat="false" ht="22.5" hidden="false" customHeight="true" outlineLevel="0" collapsed="false">
      <c r="A58" s="6" t="str">
        <f aca="false">IF(AND(Ziele!$B$18="Plan bereit",52&lt;=Ziele!$B$5),52,"")</f>
        <v/>
      </c>
      <c r="B58" s="7" t="str">
        <f aca="false">IF(AND(Ziele!$B$18="Plan bereit",52&lt;=Ziele!$B$5),Budgets!C61,"")</f>
        <v/>
      </c>
      <c r="C58" s="7" t="str">
        <f aca="false">IF(AND(Ziele!$B$18="Plan bereit",52&lt;=Ziele!$B$5),ROUND(MIN(Budgets!D61,K57+B58),2),"")</f>
        <v/>
      </c>
      <c r="D58" s="7" t="str">
        <f aca="false">IF(AND(Ziele!$B$18="Plan bereit",52&lt;=Ziele!$B$5),ROUND(Budgets!D61-C58,2),"")</f>
        <v/>
      </c>
      <c r="E58" s="7" t="str">
        <f aca="false">IF(AND(Ziele!$B$18="Plan bereit",52&lt;=Ziele!$B$5),ROUND(MAX(0,MIN(MAX(0,ROUND(Ziele!C10-B125,2)),IF(Ziele!E10="",MAX(0,ROUND(Ziele!C10-B125,2)),Ziele!E10),K57+B58-C58-0)),2),"")</f>
        <v/>
      </c>
      <c r="F58" s="7" t="str">
        <f aca="false">IF(AND(Ziele!$B$18="Plan bereit",52&lt;=Ziele!$B$5),ROUND(MAX(0,MIN(MAX(0,ROUND(Ziele!C11-C125,2)),IF(Ziele!E11="",MAX(0,ROUND(Ziele!C11-C125,2)),Ziele!E11),K57+B58-C58-SUM(E58:E58))),2),"")</f>
        <v/>
      </c>
      <c r="G58" s="7" t="str">
        <f aca="false">IF(AND(Ziele!$B$18="Plan bereit",52&lt;=Ziele!$B$5),ROUND(MAX(0,MIN(MAX(0,ROUND(Ziele!C12-D125,2)),IF(Ziele!E12="",MAX(0,ROUND(Ziele!C12-D125,2)),Ziele!E12),K57+B58-C58-SUM(E58:F58))),2),"")</f>
        <v/>
      </c>
      <c r="H58" s="7" t="str">
        <f aca="false">IF(AND(Ziele!$B$18="Plan bereit",52&lt;=Ziele!$B$5),ROUND(MAX(0,MIN(MAX(0,ROUND(Ziele!C13-E125,2)),IF(Ziele!E13="",MAX(0,ROUND(Ziele!C13-E125,2)),Ziele!E13),K57+B58-C58-SUM(E58:G58))),2),"")</f>
        <v/>
      </c>
      <c r="I58" s="7" t="str">
        <f aca="false">IF(AND(Ziele!$B$18="Plan bereit",52&lt;=Ziele!$B$5),ROUND(MAX(0,MIN(MAX(0,ROUND(Ziele!C14-F125,2)),IF(Ziele!E14="",MAX(0,ROUND(Ziele!C14-F125,2)),Ziele!E14),K57+B58-C58-SUM(E58:H58))),2),"")</f>
        <v/>
      </c>
      <c r="J58" s="7" t="str">
        <f aca="false">IF(AND(Ziele!$B$18="Plan bereit",52&lt;=Ziele!$B$5),ROUND(MAX(0,MIN(MAX(0,ROUND(Ziele!C15-G125,2)),IF(Ziele!E15="",MAX(0,ROUND(Ziele!C15-G125,2)),Ziele!E15),K57+B58-C58-SUM(E58:I58))),2),"")</f>
        <v/>
      </c>
      <c r="K58" s="7" t="str">
        <f aca="false">IF(AND(Ziele!$B$18="Plan bereit",52&lt;=Ziele!$B$5),ROUND(K57+B58-C58-SUM(E58:J58),2),"")</f>
        <v/>
      </c>
      <c r="L58" s="7" t="str">
        <f aca="false">IF(AND(Ziele!$B$18="Plan bereit",52&lt;=Ziele!$B$5),ROUND(Ziele!$B$4+SUM(B$7:B58)-SUM(C$7:C58)-H126-K58-Ziele!$B$21,2),"")</f>
        <v/>
      </c>
    </row>
    <row r="59" customFormat="false" ht="22.5" hidden="false" customHeight="true" outlineLevel="0" collapsed="false">
      <c r="A59" s="6" t="str">
        <f aca="false">IF(AND(Ziele!$B$18="Plan bereit",53&lt;=Ziele!$B$5),53,"")</f>
        <v/>
      </c>
      <c r="B59" s="7" t="str">
        <f aca="false">IF(AND(Ziele!$B$18="Plan bereit",53&lt;=Ziele!$B$5),Budgets!C62,"")</f>
        <v/>
      </c>
      <c r="C59" s="7" t="str">
        <f aca="false">IF(AND(Ziele!$B$18="Plan bereit",53&lt;=Ziele!$B$5),ROUND(MIN(Budgets!D62,K58+B59),2),"")</f>
        <v/>
      </c>
      <c r="D59" s="7" t="str">
        <f aca="false">IF(AND(Ziele!$B$18="Plan bereit",53&lt;=Ziele!$B$5),ROUND(Budgets!D62-C59,2),"")</f>
        <v/>
      </c>
      <c r="E59" s="7" t="str">
        <f aca="false">IF(AND(Ziele!$B$18="Plan bereit",53&lt;=Ziele!$B$5),ROUND(MAX(0,MIN(MAX(0,ROUND(Ziele!C10-B126,2)),IF(Ziele!E10="",MAX(0,ROUND(Ziele!C10-B126,2)),Ziele!E10),K58+B59-C59-0)),2),"")</f>
        <v/>
      </c>
      <c r="F59" s="7" t="str">
        <f aca="false">IF(AND(Ziele!$B$18="Plan bereit",53&lt;=Ziele!$B$5),ROUND(MAX(0,MIN(MAX(0,ROUND(Ziele!C11-C126,2)),IF(Ziele!E11="",MAX(0,ROUND(Ziele!C11-C126,2)),Ziele!E11),K58+B59-C59-SUM(E59:E59))),2),"")</f>
        <v/>
      </c>
      <c r="G59" s="7" t="str">
        <f aca="false">IF(AND(Ziele!$B$18="Plan bereit",53&lt;=Ziele!$B$5),ROUND(MAX(0,MIN(MAX(0,ROUND(Ziele!C12-D126,2)),IF(Ziele!E12="",MAX(0,ROUND(Ziele!C12-D126,2)),Ziele!E12),K58+B59-C59-SUM(E59:F59))),2),"")</f>
        <v/>
      </c>
      <c r="H59" s="7" t="str">
        <f aca="false">IF(AND(Ziele!$B$18="Plan bereit",53&lt;=Ziele!$B$5),ROUND(MAX(0,MIN(MAX(0,ROUND(Ziele!C13-E126,2)),IF(Ziele!E13="",MAX(0,ROUND(Ziele!C13-E126,2)),Ziele!E13),K58+B59-C59-SUM(E59:G59))),2),"")</f>
        <v/>
      </c>
      <c r="I59" s="7" t="str">
        <f aca="false">IF(AND(Ziele!$B$18="Plan bereit",53&lt;=Ziele!$B$5),ROUND(MAX(0,MIN(MAX(0,ROUND(Ziele!C14-F126,2)),IF(Ziele!E14="",MAX(0,ROUND(Ziele!C14-F126,2)),Ziele!E14),K58+B59-C59-SUM(E59:H59))),2),"")</f>
        <v/>
      </c>
      <c r="J59" s="7" t="str">
        <f aca="false">IF(AND(Ziele!$B$18="Plan bereit",53&lt;=Ziele!$B$5),ROUND(MAX(0,MIN(MAX(0,ROUND(Ziele!C15-G126,2)),IF(Ziele!E15="",MAX(0,ROUND(Ziele!C15-G126,2)),Ziele!E15),K58+B59-C59-SUM(E59:I59))),2),"")</f>
        <v/>
      </c>
      <c r="K59" s="7" t="str">
        <f aca="false">IF(AND(Ziele!$B$18="Plan bereit",53&lt;=Ziele!$B$5),ROUND(K58+B59-C59-SUM(E59:J59),2),"")</f>
        <v/>
      </c>
      <c r="L59" s="7" t="str">
        <f aca="false">IF(AND(Ziele!$B$18="Plan bereit",53&lt;=Ziele!$B$5),ROUND(Ziele!$B$4+SUM(B$7:B59)-SUM(C$7:C59)-H127-K59-Ziele!$B$21,2),"")</f>
        <v/>
      </c>
    </row>
    <row r="60" customFormat="false" ht="22.5" hidden="false" customHeight="true" outlineLevel="0" collapsed="false">
      <c r="A60" s="6" t="str">
        <f aca="false">IF(AND(Ziele!$B$18="Plan bereit",54&lt;=Ziele!$B$5),54,"")</f>
        <v/>
      </c>
      <c r="B60" s="7" t="str">
        <f aca="false">IF(AND(Ziele!$B$18="Plan bereit",54&lt;=Ziele!$B$5),Budgets!C63,"")</f>
        <v/>
      </c>
      <c r="C60" s="7" t="str">
        <f aca="false">IF(AND(Ziele!$B$18="Plan bereit",54&lt;=Ziele!$B$5),ROUND(MIN(Budgets!D63,K59+B60),2),"")</f>
        <v/>
      </c>
      <c r="D60" s="7" t="str">
        <f aca="false">IF(AND(Ziele!$B$18="Plan bereit",54&lt;=Ziele!$B$5),ROUND(Budgets!D63-C60,2),"")</f>
        <v/>
      </c>
      <c r="E60" s="7" t="str">
        <f aca="false">IF(AND(Ziele!$B$18="Plan bereit",54&lt;=Ziele!$B$5),ROUND(MAX(0,MIN(MAX(0,ROUND(Ziele!C10-B127,2)),IF(Ziele!E10="",MAX(0,ROUND(Ziele!C10-B127,2)),Ziele!E10),K59+B60-C60-0)),2),"")</f>
        <v/>
      </c>
      <c r="F60" s="7" t="str">
        <f aca="false">IF(AND(Ziele!$B$18="Plan bereit",54&lt;=Ziele!$B$5),ROUND(MAX(0,MIN(MAX(0,ROUND(Ziele!C11-C127,2)),IF(Ziele!E11="",MAX(0,ROUND(Ziele!C11-C127,2)),Ziele!E11),K59+B60-C60-SUM(E60:E60))),2),"")</f>
        <v/>
      </c>
      <c r="G60" s="7" t="str">
        <f aca="false">IF(AND(Ziele!$B$18="Plan bereit",54&lt;=Ziele!$B$5),ROUND(MAX(0,MIN(MAX(0,ROUND(Ziele!C12-D127,2)),IF(Ziele!E12="",MAX(0,ROUND(Ziele!C12-D127,2)),Ziele!E12),K59+B60-C60-SUM(E60:F60))),2),"")</f>
        <v/>
      </c>
      <c r="H60" s="7" t="str">
        <f aca="false">IF(AND(Ziele!$B$18="Plan bereit",54&lt;=Ziele!$B$5),ROUND(MAX(0,MIN(MAX(0,ROUND(Ziele!C13-E127,2)),IF(Ziele!E13="",MAX(0,ROUND(Ziele!C13-E127,2)),Ziele!E13),K59+B60-C60-SUM(E60:G60))),2),"")</f>
        <v/>
      </c>
      <c r="I60" s="7" t="str">
        <f aca="false">IF(AND(Ziele!$B$18="Plan bereit",54&lt;=Ziele!$B$5),ROUND(MAX(0,MIN(MAX(0,ROUND(Ziele!C14-F127,2)),IF(Ziele!E14="",MAX(0,ROUND(Ziele!C14-F127,2)),Ziele!E14),K59+B60-C60-SUM(E60:H60))),2),"")</f>
        <v/>
      </c>
      <c r="J60" s="7" t="str">
        <f aca="false">IF(AND(Ziele!$B$18="Plan bereit",54&lt;=Ziele!$B$5),ROUND(MAX(0,MIN(MAX(0,ROUND(Ziele!C15-G127,2)),IF(Ziele!E15="",MAX(0,ROUND(Ziele!C15-G127,2)),Ziele!E15),K59+B60-C60-SUM(E60:I60))),2),"")</f>
        <v/>
      </c>
      <c r="K60" s="7" t="str">
        <f aca="false">IF(AND(Ziele!$B$18="Plan bereit",54&lt;=Ziele!$B$5),ROUND(K59+B60-C60-SUM(E60:J60),2),"")</f>
        <v/>
      </c>
      <c r="L60" s="7" t="str">
        <f aca="false">IF(AND(Ziele!$B$18="Plan bereit",54&lt;=Ziele!$B$5),ROUND(Ziele!$B$4+SUM(B$7:B60)-SUM(C$7:C60)-H128-K60-Ziele!$B$21,2),"")</f>
        <v/>
      </c>
    </row>
    <row r="61" customFormat="false" ht="22.5" hidden="false" customHeight="true" outlineLevel="0" collapsed="false">
      <c r="A61" s="6" t="str">
        <f aca="false">IF(AND(Ziele!$B$18="Plan bereit",55&lt;=Ziele!$B$5),55,"")</f>
        <v/>
      </c>
      <c r="B61" s="7" t="str">
        <f aca="false">IF(AND(Ziele!$B$18="Plan bereit",55&lt;=Ziele!$B$5),Budgets!C64,"")</f>
        <v/>
      </c>
      <c r="C61" s="7" t="str">
        <f aca="false">IF(AND(Ziele!$B$18="Plan bereit",55&lt;=Ziele!$B$5),ROUND(MIN(Budgets!D64,K60+B61),2),"")</f>
        <v/>
      </c>
      <c r="D61" s="7" t="str">
        <f aca="false">IF(AND(Ziele!$B$18="Plan bereit",55&lt;=Ziele!$B$5),ROUND(Budgets!D64-C61,2),"")</f>
        <v/>
      </c>
      <c r="E61" s="7" t="str">
        <f aca="false">IF(AND(Ziele!$B$18="Plan bereit",55&lt;=Ziele!$B$5),ROUND(MAX(0,MIN(MAX(0,ROUND(Ziele!C10-B128,2)),IF(Ziele!E10="",MAX(0,ROUND(Ziele!C10-B128,2)),Ziele!E10),K60+B61-C61-0)),2),"")</f>
        <v/>
      </c>
      <c r="F61" s="7" t="str">
        <f aca="false">IF(AND(Ziele!$B$18="Plan bereit",55&lt;=Ziele!$B$5),ROUND(MAX(0,MIN(MAX(0,ROUND(Ziele!C11-C128,2)),IF(Ziele!E11="",MAX(0,ROUND(Ziele!C11-C128,2)),Ziele!E11),K60+B61-C61-SUM(E61:E61))),2),"")</f>
        <v/>
      </c>
      <c r="G61" s="7" t="str">
        <f aca="false">IF(AND(Ziele!$B$18="Plan bereit",55&lt;=Ziele!$B$5),ROUND(MAX(0,MIN(MAX(0,ROUND(Ziele!C12-D128,2)),IF(Ziele!E12="",MAX(0,ROUND(Ziele!C12-D128,2)),Ziele!E12),K60+B61-C61-SUM(E61:F61))),2),"")</f>
        <v/>
      </c>
      <c r="H61" s="7" t="str">
        <f aca="false">IF(AND(Ziele!$B$18="Plan bereit",55&lt;=Ziele!$B$5),ROUND(MAX(0,MIN(MAX(0,ROUND(Ziele!C13-E128,2)),IF(Ziele!E13="",MAX(0,ROUND(Ziele!C13-E128,2)),Ziele!E13),K60+B61-C61-SUM(E61:G61))),2),"")</f>
        <v/>
      </c>
      <c r="I61" s="7" t="str">
        <f aca="false">IF(AND(Ziele!$B$18="Plan bereit",55&lt;=Ziele!$B$5),ROUND(MAX(0,MIN(MAX(0,ROUND(Ziele!C14-F128,2)),IF(Ziele!E14="",MAX(0,ROUND(Ziele!C14-F128,2)),Ziele!E14),K60+B61-C61-SUM(E61:H61))),2),"")</f>
        <v/>
      </c>
      <c r="J61" s="7" t="str">
        <f aca="false">IF(AND(Ziele!$B$18="Plan bereit",55&lt;=Ziele!$B$5),ROUND(MAX(0,MIN(MAX(0,ROUND(Ziele!C15-G128,2)),IF(Ziele!E15="",MAX(0,ROUND(Ziele!C15-G128,2)),Ziele!E15),K60+B61-C61-SUM(E61:I61))),2),"")</f>
        <v/>
      </c>
      <c r="K61" s="7" t="str">
        <f aca="false">IF(AND(Ziele!$B$18="Plan bereit",55&lt;=Ziele!$B$5),ROUND(K60+B61-C61-SUM(E61:J61),2),"")</f>
        <v/>
      </c>
      <c r="L61" s="7" t="str">
        <f aca="false">IF(AND(Ziele!$B$18="Plan bereit",55&lt;=Ziele!$B$5),ROUND(Ziele!$B$4+SUM(B$7:B61)-SUM(C$7:C61)-H129-K61-Ziele!$B$21,2),"")</f>
        <v/>
      </c>
    </row>
    <row r="62" customFormat="false" ht="22.5" hidden="false" customHeight="true" outlineLevel="0" collapsed="false">
      <c r="A62" s="6" t="str">
        <f aca="false">IF(AND(Ziele!$B$18="Plan bereit",56&lt;=Ziele!$B$5),56,"")</f>
        <v/>
      </c>
      <c r="B62" s="7" t="str">
        <f aca="false">IF(AND(Ziele!$B$18="Plan bereit",56&lt;=Ziele!$B$5),Budgets!C65,"")</f>
        <v/>
      </c>
      <c r="C62" s="7" t="str">
        <f aca="false">IF(AND(Ziele!$B$18="Plan bereit",56&lt;=Ziele!$B$5),ROUND(MIN(Budgets!D65,K61+B62),2),"")</f>
        <v/>
      </c>
      <c r="D62" s="7" t="str">
        <f aca="false">IF(AND(Ziele!$B$18="Plan bereit",56&lt;=Ziele!$B$5),ROUND(Budgets!D65-C62,2),"")</f>
        <v/>
      </c>
      <c r="E62" s="7" t="str">
        <f aca="false">IF(AND(Ziele!$B$18="Plan bereit",56&lt;=Ziele!$B$5),ROUND(MAX(0,MIN(MAX(0,ROUND(Ziele!C10-B129,2)),IF(Ziele!E10="",MAX(0,ROUND(Ziele!C10-B129,2)),Ziele!E10),K61+B62-C62-0)),2),"")</f>
        <v/>
      </c>
      <c r="F62" s="7" t="str">
        <f aca="false">IF(AND(Ziele!$B$18="Plan bereit",56&lt;=Ziele!$B$5),ROUND(MAX(0,MIN(MAX(0,ROUND(Ziele!C11-C129,2)),IF(Ziele!E11="",MAX(0,ROUND(Ziele!C11-C129,2)),Ziele!E11),K61+B62-C62-SUM(E62:E62))),2),"")</f>
        <v/>
      </c>
      <c r="G62" s="7" t="str">
        <f aca="false">IF(AND(Ziele!$B$18="Plan bereit",56&lt;=Ziele!$B$5),ROUND(MAX(0,MIN(MAX(0,ROUND(Ziele!C12-D129,2)),IF(Ziele!E12="",MAX(0,ROUND(Ziele!C12-D129,2)),Ziele!E12),K61+B62-C62-SUM(E62:F62))),2),"")</f>
        <v/>
      </c>
      <c r="H62" s="7" t="str">
        <f aca="false">IF(AND(Ziele!$B$18="Plan bereit",56&lt;=Ziele!$B$5),ROUND(MAX(0,MIN(MAX(0,ROUND(Ziele!C13-E129,2)),IF(Ziele!E13="",MAX(0,ROUND(Ziele!C13-E129,2)),Ziele!E13),K61+B62-C62-SUM(E62:G62))),2),"")</f>
        <v/>
      </c>
      <c r="I62" s="7" t="str">
        <f aca="false">IF(AND(Ziele!$B$18="Plan bereit",56&lt;=Ziele!$B$5),ROUND(MAX(0,MIN(MAX(0,ROUND(Ziele!C14-F129,2)),IF(Ziele!E14="",MAX(0,ROUND(Ziele!C14-F129,2)),Ziele!E14),K61+B62-C62-SUM(E62:H62))),2),"")</f>
        <v/>
      </c>
      <c r="J62" s="7" t="str">
        <f aca="false">IF(AND(Ziele!$B$18="Plan bereit",56&lt;=Ziele!$B$5),ROUND(MAX(0,MIN(MAX(0,ROUND(Ziele!C15-G129,2)),IF(Ziele!E15="",MAX(0,ROUND(Ziele!C15-G129,2)),Ziele!E15),K61+B62-C62-SUM(E62:I62))),2),"")</f>
        <v/>
      </c>
      <c r="K62" s="7" t="str">
        <f aca="false">IF(AND(Ziele!$B$18="Plan bereit",56&lt;=Ziele!$B$5),ROUND(K61+B62-C62-SUM(E62:J62),2),"")</f>
        <v/>
      </c>
      <c r="L62" s="7" t="str">
        <f aca="false">IF(AND(Ziele!$B$18="Plan bereit",56&lt;=Ziele!$B$5),ROUND(Ziele!$B$4+SUM(B$7:B62)-SUM(C$7:C62)-H130-K62-Ziele!$B$21,2),"")</f>
        <v/>
      </c>
    </row>
    <row r="63" customFormat="false" ht="22.5" hidden="false" customHeight="true" outlineLevel="0" collapsed="false">
      <c r="A63" s="6" t="str">
        <f aca="false">IF(AND(Ziele!$B$18="Plan bereit",57&lt;=Ziele!$B$5),57,"")</f>
        <v/>
      </c>
      <c r="B63" s="7" t="str">
        <f aca="false">IF(AND(Ziele!$B$18="Plan bereit",57&lt;=Ziele!$B$5),Budgets!C66,"")</f>
        <v/>
      </c>
      <c r="C63" s="7" t="str">
        <f aca="false">IF(AND(Ziele!$B$18="Plan bereit",57&lt;=Ziele!$B$5),ROUND(MIN(Budgets!D66,K62+B63),2),"")</f>
        <v/>
      </c>
      <c r="D63" s="7" t="str">
        <f aca="false">IF(AND(Ziele!$B$18="Plan bereit",57&lt;=Ziele!$B$5),ROUND(Budgets!D66-C63,2),"")</f>
        <v/>
      </c>
      <c r="E63" s="7" t="str">
        <f aca="false">IF(AND(Ziele!$B$18="Plan bereit",57&lt;=Ziele!$B$5),ROUND(MAX(0,MIN(MAX(0,ROUND(Ziele!C10-B130,2)),IF(Ziele!E10="",MAX(0,ROUND(Ziele!C10-B130,2)),Ziele!E10),K62+B63-C63-0)),2),"")</f>
        <v/>
      </c>
      <c r="F63" s="7" t="str">
        <f aca="false">IF(AND(Ziele!$B$18="Plan bereit",57&lt;=Ziele!$B$5),ROUND(MAX(0,MIN(MAX(0,ROUND(Ziele!C11-C130,2)),IF(Ziele!E11="",MAX(0,ROUND(Ziele!C11-C130,2)),Ziele!E11),K62+B63-C63-SUM(E63:E63))),2),"")</f>
        <v/>
      </c>
      <c r="G63" s="7" t="str">
        <f aca="false">IF(AND(Ziele!$B$18="Plan bereit",57&lt;=Ziele!$B$5),ROUND(MAX(0,MIN(MAX(0,ROUND(Ziele!C12-D130,2)),IF(Ziele!E12="",MAX(0,ROUND(Ziele!C12-D130,2)),Ziele!E12),K62+B63-C63-SUM(E63:F63))),2),"")</f>
        <v/>
      </c>
      <c r="H63" s="7" t="str">
        <f aca="false">IF(AND(Ziele!$B$18="Plan bereit",57&lt;=Ziele!$B$5),ROUND(MAX(0,MIN(MAX(0,ROUND(Ziele!C13-E130,2)),IF(Ziele!E13="",MAX(0,ROUND(Ziele!C13-E130,2)),Ziele!E13),K62+B63-C63-SUM(E63:G63))),2),"")</f>
        <v/>
      </c>
      <c r="I63" s="7" t="str">
        <f aca="false">IF(AND(Ziele!$B$18="Plan bereit",57&lt;=Ziele!$B$5),ROUND(MAX(0,MIN(MAX(0,ROUND(Ziele!C14-F130,2)),IF(Ziele!E14="",MAX(0,ROUND(Ziele!C14-F130,2)),Ziele!E14),K62+B63-C63-SUM(E63:H63))),2),"")</f>
        <v/>
      </c>
      <c r="J63" s="7" t="str">
        <f aca="false">IF(AND(Ziele!$B$18="Plan bereit",57&lt;=Ziele!$B$5),ROUND(MAX(0,MIN(MAX(0,ROUND(Ziele!C15-G130,2)),IF(Ziele!E15="",MAX(0,ROUND(Ziele!C15-G130,2)),Ziele!E15),K62+B63-C63-SUM(E63:I63))),2),"")</f>
        <v/>
      </c>
      <c r="K63" s="7" t="str">
        <f aca="false">IF(AND(Ziele!$B$18="Plan bereit",57&lt;=Ziele!$B$5),ROUND(K62+B63-C63-SUM(E63:J63),2),"")</f>
        <v/>
      </c>
      <c r="L63" s="7" t="str">
        <f aca="false">IF(AND(Ziele!$B$18="Plan bereit",57&lt;=Ziele!$B$5),ROUND(Ziele!$B$4+SUM(B$7:B63)-SUM(C$7:C63)-H131-K63-Ziele!$B$21,2),"")</f>
        <v/>
      </c>
    </row>
    <row r="64" customFormat="false" ht="22.5" hidden="false" customHeight="true" outlineLevel="0" collapsed="false">
      <c r="A64" s="6" t="str">
        <f aca="false">IF(AND(Ziele!$B$18="Plan bereit",58&lt;=Ziele!$B$5),58,"")</f>
        <v/>
      </c>
      <c r="B64" s="7" t="str">
        <f aca="false">IF(AND(Ziele!$B$18="Plan bereit",58&lt;=Ziele!$B$5),Budgets!C67,"")</f>
        <v/>
      </c>
      <c r="C64" s="7" t="str">
        <f aca="false">IF(AND(Ziele!$B$18="Plan bereit",58&lt;=Ziele!$B$5),ROUND(MIN(Budgets!D67,K63+B64),2),"")</f>
        <v/>
      </c>
      <c r="D64" s="7" t="str">
        <f aca="false">IF(AND(Ziele!$B$18="Plan bereit",58&lt;=Ziele!$B$5),ROUND(Budgets!D67-C64,2),"")</f>
        <v/>
      </c>
      <c r="E64" s="7" t="str">
        <f aca="false">IF(AND(Ziele!$B$18="Plan bereit",58&lt;=Ziele!$B$5),ROUND(MAX(0,MIN(MAX(0,ROUND(Ziele!C10-B131,2)),IF(Ziele!E10="",MAX(0,ROUND(Ziele!C10-B131,2)),Ziele!E10),K63+B64-C64-0)),2),"")</f>
        <v/>
      </c>
      <c r="F64" s="7" t="str">
        <f aca="false">IF(AND(Ziele!$B$18="Plan bereit",58&lt;=Ziele!$B$5),ROUND(MAX(0,MIN(MAX(0,ROUND(Ziele!C11-C131,2)),IF(Ziele!E11="",MAX(0,ROUND(Ziele!C11-C131,2)),Ziele!E11),K63+B64-C64-SUM(E64:E64))),2),"")</f>
        <v/>
      </c>
      <c r="G64" s="7" t="str">
        <f aca="false">IF(AND(Ziele!$B$18="Plan bereit",58&lt;=Ziele!$B$5),ROUND(MAX(0,MIN(MAX(0,ROUND(Ziele!C12-D131,2)),IF(Ziele!E12="",MAX(0,ROUND(Ziele!C12-D131,2)),Ziele!E12),K63+B64-C64-SUM(E64:F64))),2),"")</f>
        <v/>
      </c>
      <c r="H64" s="7" t="str">
        <f aca="false">IF(AND(Ziele!$B$18="Plan bereit",58&lt;=Ziele!$B$5),ROUND(MAX(0,MIN(MAX(0,ROUND(Ziele!C13-E131,2)),IF(Ziele!E13="",MAX(0,ROUND(Ziele!C13-E131,2)),Ziele!E13),K63+B64-C64-SUM(E64:G64))),2),"")</f>
        <v/>
      </c>
      <c r="I64" s="7" t="str">
        <f aca="false">IF(AND(Ziele!$B$18="Plan bereit",58&lt;=Ziele!$B$5),ROUND(MAX(0,MIN(MAX(0,ROUND(Ziele!C14-F131,2)),IF(Ziele!E14="",MAX(0,ROUND(Ziele!C14-F131,2)),Ziele!E14),K63+B64-C64-SUM(E64:H64))),2),"")</f>
        <v/>
      </c>
      <c r="J64" s="7" t="str">
        <f aca="false">IF(AND(Ziele!$B$18="Plan bereit",58&lt;=Ziele!$B$5),ROUND(MAX(0,MIN(MAX(0,ROUND(Ziele!C15-G131,2)),IF(Ziele!E15="",MAX(0,ROUND(Ziele!C15-G131,2)),Ziele!E15),K63+B64-C64-SUM(E64:I64))),2),"")</f>
        <v/>
      </c>
      <c r="K64" s="7" t="str">
        <f aca="false">IF(AND(Ziele!$B$18="Plan bereit",58&lt;=Ziele!$B$5),ROUND(K63+B64-C64-SUM(E64:J64),2),"")</f>
        <v/>
      </c>
      <c r="L64" s="7" t="str">
        <f aca="false">IF(AND(Ziele!$B$18="Plan bereit",58&lt;=Ziele!$B$5),ROUND(Ziele!$B$4+SUM(B$7:B64)-SUM(C$7:C64)-H132-K64-Ziele!$B$21,2),"")</f>
        <v/>
      </c>
    </row>
    <row r="65" customFormat="false" ht="22.5" hidden="false" customHeight="true" outlineLevel="0" collapsed="false">
      <c r="A65" s="6" t="str">
        <f aca="false">IF(AND(Ziele!$B$18="Plan bereit",59&lt;=Ziele!$B$5),59,"")</f>
        <v/>
      </c>
      <c r="B65" s="7" t="str">
        <f aca="false">IF(AND(Ziele!$B$18="Plan bereit",59&lt;=Ziele!$B$5),Budgets!C68,"")</f>
        <v/>
      </c>
      <c r="C65" s="7" t="str">
        <f aca="false">IF(AND(Ziele!$B$18="Plan bereit",59&lt;=Ziele!$B$5),ROUND(MIN(Budgets!D68,K64+B65),2),"")</f>
        <v/>
      </c>
      <c r="D65" s="7" t="str">
        <f aca="false">IF(AND(Ziele!$B$18="Plan bereit",59&lt;=Ziele!$B$5),ROUND(Budgets!D68-C65,2),"")</f>
        <v/>
      </c>
      <c r="E65" s="7" t="str">
        <f aca="false">IF(AND(Ziele!$B$18="Plan bereit",59&lt;=Ziele!$B$5),ROUND(MAX(0,MIN(MAX(0,ROUND(Ziele!C10-B132,2)),IF(Ziele!E10="",MAX(0,ROUND(Ziele!C10-B132,2)),Ziele!E10),K64+B65-C65-0)),2),"")</f>
        <v/>
      </c>
      <c r="F65" s="7" t="str">
        <f aca="false">IF(AND(Ziele!$B$18="Plan bereit",59&lt;=Ziele!$B$5),ROUND(MAX(0,MIN(MAX(0,ROUND(Ziele!C11-C132,2)),IF(Ziele!E11="",MAX(0,ROUND(Ziele!C11-C132,2)),Ziele!E11),K64+B65-C65-SUM(E65:E65))),2),"")</f>
        <v/>
      </c>
      <c r="G65" s="7" t="str">
        <f aca="false">IF(AND(Ziele!$B$18="Plan bereit",59&lt;=Ziele!$B$5),ROUND(MAX(0,MIN(MAX(0,ROUND(Ziele!C12-D132,2)),IF(Ziele!E12="",MAX(0,ROUND(Ziele!C12-D132,2)),Ziele!E12),K64+B65-C65-SUM(E65:F65))),2),"")</f>
        <v/>
      </c>
      <c r="H65" s="7" t="str">
        <f aca="false">IF(AND(Ziele!$B$18="Plan bereit",59&lt;=Ziele!$B$5),ROUND(MAX(0,MIN(MAX(0,ROUND(Ziele!C13-E132,2)),IF(Ziele!E13="",MAX(0,ROUND(Ziele!C13-E132,2)),Ziele!E13),K64+B65-C65-SUM(E65:G65))),2),"")</f>
        <v/>
      </c>
      <c r="I65" s="7" t="str">
        <f aca="false">IF(AND(Ziele!$B$18="Plan bereit",59&lt;=Ziele!$B$5),ROUND(MAX(0,MIN(MAX(0,ROUND(Ziele!C14-F132,2)),IF(Ziele!E14="",MAX(0,ROUND(Ziele!C14-F132,2)),Ziele!E14),K64+B65-C65-SUM(E65:H65))),2),"")</f>
        <v/>
      </c>
      <c r="J65" s="7" t="str">
        <f aca="false">IF(AND(Ziele!$B$18="Plan bereit",59&lt;=Ziele!$B$5),ROUND(MAX(0,MIN(MAX(0,ROUND(Ziele!C15-G132,2)),IF(Ziele!E15="",MAX(0,ROUND(Ziele!C15-G132,2)),Ziele!E15),K64+B65-C65-SUM(E65:I65))),2),"")</f>
        <v/>
      </c>
      <c r="K65" s="7" t="str">
        <f aca="false">IF(AND(Ziele!$B$18="Plan bereit",59&lt;=Ziele!$B$5),ROUND(K64+B65-C65-SUM(E65:J65),2),"")</f>
        <v/>
      </c>
      <c r="L65" s="7" t="str">
        <f aca="false">IF(AND(Ziele!$B$18="Plan bereit",59&lt;=Ziele!$B$5),ROUND(Ziele!$B$4+SUM(B$7:B65)-SUM(C$7:C65)-H133-K65-Ziele!$B$21,2),"")</f>
        <v/>
      </c>
    </row>
    <row r="66" customFormat="false" ht="22.5" hidden="false" customHeight="true" outlineLevel="0" collapsed="false">
      <c r="A66" s="6" t="str">
        <f aca="false">IF(AND(Ziele!$B$18="Plan bereit",60&lt;=Ziele!$B$5),60,"")</f>
        <v/>
      </c>
      <c r="B66" s="7" t="str">
        <f aca="false">IF(AND(Ziele!$B$18="Plan bereit",60&lt;=Ziele!$B$5),Budgets!C69,"")</f>
        <v/>
      </c>
      <c r="C66" s="7" t="str">
        <f aca="false">IF(AND(Ziele!$B$18="Plan bereit",60&lt;=Ziele!$B$5),ROUND(MIN(Budgets!D69,K65+B66),2),"")</f>
        <v/>
      </c>
      <c r="D66" s="7" t="str">
        <f aca="false">IF(AND(Ziele!$B$18="Plan bereit",60&lt;=Ziele!$B$5),ROUND(Budgets!D69-C66,2),"")</f>
        <v/>
      </c>
      <c r="E66" s="7" t="str">
        <f aca="false">IF(AND(Ziele!$B$18="Plan bereit",60&lt;=Ziele!$B$5),ROUND(MAX(0,MIN(MAX(0,ROUND(Ziele!C10-B133,2)),IF(Ziele!E10="",MAX(0,ROUND(Ziele!C10-B133,2)),Ziele!E10),K65+B66-C66-0)),2),"")</f>
        <v/>
      </c>
      <c r="F66" s="7" t="str">
        <f aca="false">IF(AND(Ziele!$B$18="Plan bereit",60&lt;=Ziele!$B$5),ROUND(MAX(0,MIN(MAX(0,ROUND(Ziele!C11-C133,2)),IF(Ziele!E11="",MAX(0,ROUND(Ziele!C11-C133,2)),Ziele!E11),K65+B66-C66-SUM(E66:E66))),2),"")</f>
        <v/>
      </c>
      <c r="G66" s="7" t="str">
        <f aca="false">IF(AND(Ziele!$B$18="Plan bereit",60&lt;=Ziele!$B$5),ROUND(MAX(0,MIN(MAX(0,ROUND(Ziele!C12-D133,2)),IF(Ziele!E12="",MAX(0,ROUND(Ziele!C12-D133,2)),Ziele!E12),K65+B66-C66-SUM(E66:F66))),2),"")</f>
        <v/>
      </c>
      <c r="H66" s="7" t="str">
        <f aca="false">IF(AND(Ziele!$B$18="Plan bereit",60&lt;=Ziele!$B$5),ROUND(MAX(0,MIN(MAX(0,ROUND(Ziele!C13-E133,2)),IF(Ziele!E13="",MAX(0,ROUND(Ziele!C13-E133,2)),Ziele!E13),K65+B66-C66-SUM(E66:G66))),2),"")</f>
        <v/>
      </c>
      <c r="I66" s="7" t="str">
        <f aca="false">IF(AND(Ziele!$B$18="Plan bereit",60&lt;=Ziele!$B$5),ROUND(MAX(0,MIN(MAX(0,ROUND(Ziele!C14-F133,2)),IF(Ziele!E14="",MAX(0,ROUND(Ziele!C14-F133,2)),Ziele!E14),K65+B66-C66-SUM(E66:H66))),2),"")</f>
        <v/>
      </c>
      <c r="J66" s="7" t="str">
        <f aca="false">IF(AND(Ziele!$B$18="Plan bereit",60&lt;=Ziele!$B$5),ROUND(MAX(0,MIN(MAX(0,ROUND(Ziele!C15-G133,2)),IF(Ziele!E15="",MAX(0,ROUND(Ziele!C15-G133,2)),Ziele!E15),K65+B66-C66-SUM(E66:I66))),2),"")</f>
        <v/>
      </c>
      <c r="K66" s="7" t="str">
        <f aca="false">IF(AND(Ziele!$B$18="Plan bereit",60&lt;=Ziele!$B$5),ROUND(K65+B66-C66-SUM(E66:J66),2),"")</f>
        <v/>
      </c>
      <c r="L66" s="7" t="str">
        <f aca="false">IF(AND(Ziele!$B$18="Plan bereit",60&lt;=Ziele!$B$5),ROUND(Ziele!$B$4+SUM(B$7:B66)-SUM(C$7:C66)-H134-K66-Ziele!$B$21,2),"")</f>
        <v/>
      </c>
    </row>
    <row r="74" customFormat="false" ht="33.75" hidden="false" customHeight="true" outlineLevel="0" collapsed="false">
      <c r="A74" s="5" t="s">
        <v>30</v>
      </c>
      <c r="B74" s="5" t="str">
        <f aca="false">IF(Ziele!A10="","Ziel 1",Ziele!A10)</f>
        <v>Reserve</v>
      </c>
      <c r="C74" s="5" t="str">
        <f aca="false">IF(Ziele!A11="","Ziel 2",Ziele!A11)</f>
        <v>Eigenkapital</v>
      </c>
      <c r="D74" s="5" t="str">
        <f aca="false">IF(Ziele!A12="","Ziel 3",Ziele!A12)</f>
        <v>Ziel 3</v>
      </c>
      <c r="E74" s="5" t="str">
        <f aca="false">IF(Ziele!A13="","Ziel 4",Ziele!A13)</f>
        <v>Ziel 4</v>
      </c>
      <c r="F74" s="5" t="str">
        <f aca="false">IF(Ziele!A14="","Ziel 5",Ziele!A14)</f>
        <v>Ziel 5</v>
      </c>
      <c r="G74" s="5" t="str">
        <f aca="false">IF(Ziele!A15="","Ziel 6",Ziele!A15)</f>
        <v>Ziel 6</v>
      </c>
      <c r="H74" s="5" t="s">
        <v>63</v>
      </c>
    </row>
    <row r="75" customFormat="false" ht="22.5" hidden="false" customHeight="true" outlineLevel="0" collapsed="false">
      <c r="A75" s="6" t="n">
        <f aca="false">IF(AND(Ziele!$B$18="Plan bereit",1&lt;=Ziele!$B$5),1,"")</f>
        <v>1</v>
      </c>
      <c r="B75" s="7" t="n">
        <f aca="false">IF(AND(Ziele!$B$18="Plan bereit",1&lt;=Ziele!$B$5),ROUND(Ziele!B10+E7,2),"")</f>
        <v>8200</v>
      </c>
      <c r="C75" s="7" t="n">
        <f aca="false">IF(AND(Ziele!$B$18="Plan bereit",1&lt;=Ziele!$B$5),ROUND(Ziele!B11+F7,2),"")</f>
        <v>18150</v>
      </c>
      <c r="D75" s="7" t="n">
        <f aca="false">IF(AND(Ziele!$B$18="Plan bereit",1&lt;=Ziele!$B$5),ROUND(Ziele!B12+G7,2),"")</f>
        <v>0</v>
      </c>
      <c r="E75" s="7" t="n">
        <f aca="false">IF(AND(Ziele!$B$18="Plan bereit",1&lt;=Ziele!$B$5),ROUND(Ziele!B13+H7,2),"")</f>
        <v>0</v>
      </c>
      <c r="F75" s="7" t="n">
        <f aca="false">IF(AND(Ziele!$B$18="Plan bereit",1&lt;=Ziele!$B$5),ROUND(Ziele!B14+I7,2),"")</f>
        <v>0</v>
      </c>
      <c r="G75" s="7" t="n">
        <f aca="false">IF(AND(Ziele!$B$18="Plan bereit",1&lt;=Ziele!$B$5),ROUND(Ziele!B15+J7,2),"")</f>
        <v>0</v>
      </c>
      <c r="H75" s="7" t="n">
        <f aca="false">IF(AND(Ziele!$B$18="Plan bereit",1&lt;=Ziele!$B$5),ROUND(SUM(B75:G75),2),"")</f>
        <v>26350</v>
      </c>
      <c r="I75" s="6" t="str">
        <f aca="false">IF(AND(AND(Ziele!$B$18="Plan bereit",1&lt;=Ziele!$B$5),Ziele!C10&gt;0,B75&gt;=Ziele!C10),1,"")</f>
        <v/>
      </c>
      <c r="J75" s="6" t="str">
        <f aca="false">IF(AND(AND(Ziele!$B$18="Plan bereit",1&lt;=Ziele!$B$5),Ziele!C11&gt;0,C75&gt;=Ziele!C11),1,"")</f>
        <v/>
      </c>
      <c r="K75" s="6" t="str">
        <f aca="false">IF(AND(AND(Ziele!$B$18="Plan bereit",1&lt;=Ziele!$B$5),Ziele!C12&gt;0,D75&gt;=Ziele!C12),1,"")</f>
        <v/>
      </c>
      <c r="L75" s="6" t="str">
        <f aca="false">IF(AND(AND(Ziele!$B$18="Plan bereit",1&lt;=Ziele!$B$5),Ziele!C13&gt;0,E75&gt;=Ziele!C13),1,"")</f>
        <v/>
      </c>
      <c r="M75" s="6" t="str">
        <f aca="false">IF(AND(AND(Ziele!$B$18="Plan bereit",1&lt;=Ziele!$B$5),Ziele!C14&gt;0,F75&gt;=Ziele!C14),1,"")</f>
        <v/>
      </c>
      <c r="N75" s="6" t="str">
        <f aca="false">IF(AND(AND(Ziele!$B$18="Plan bereit",1&lt;=Ziele!$B$5),Ziele!C15&gt;0,G75&gt;=Ziele!C15),1,"")</f>
        <v/>
      </c>
    </row>
    <row r="76" customFormat="false" ht="22.5" hidden="false" customHeight="true" outlineLevel="0" collapsed="false">
      <c r="A76" s="6" t="n">
        <f aca="false">IF(AND(Ziele!$B$18="Plan bereit",2&lt;=Ziele!$B$5),2,"")</f>
        <v>2</v>
      </c>
      <c r="B76" s="7" t="n">
        <f aca="false">IF(AND(Ziele!$B$18="Plan bereit",2&lt;=Ziele!$B$5),ROUND(B75+E8,2),"")</f>
        <v>8400</v>
      </c>
      <c r="C76" s="7" t="n">
        <f aca="false">IF(AND(Ziele!$B$18="Plan bereit",2&lt;=Ziele!$B$5),ROUND(C75+F8,2),"")</f>
        <v>18300</v>
      </c>
      <c r="D76" s="7" t="n">
        <f aca="false">IF(AND(Ziele!$B$18="Plan bereit",2&lt;=Ziele!$B$5),ROUND(D75+G8,2),"")</f>
        <v>0</v>
      </c>
      <c r="E76" s="7" t="n">
        <f aca="false">IF(AND(Ziele!$B$18="Plan bereit",2&lt;=Ziele!$B$5),ROUND(E75+H8,2),"")</f>
        <v>0</v>
      </c>
      <c r="F76" s="7" t="n">
        <f aca="false">IF(AND(Ziele!$B$18="Plan bereit",2&lt;=Ziele!$B$5),ROUND(F75+I8,2),"")</f>
        <v>0</v>
      </c>
      <c r="G76" s="7" t="n">
        <f aca="false">IF(AND(Ziele!$B$18="Plan bereit",2&lt;=Ziele!$B$5),ROUND(G75+J8,2),"")</f>
        <v>0</v>
      </c>
      <c r="H76" s="7" t="n">
        <f aca="false">IF(AND(Ziele!$B$18="Plan bereit",2&lt;=Ziele!$B$5),ROUND(SUM(B76:G76),2),"")</f>
        <v>26700</v>
      </c>
      <c r="I76" s="6" t="str">
        <f aca="false">IF(AND(AND(Ziele!$B$18="Plan bereit",2&lt;=Ziele!$B$5),Ziele!C10&gt;0,B76&gt;=Ziele!C10),2,"")</f>
        <v/>
      </c>
      <c r="J76" s="6" t="str">
        <f aca="false">IF(AND(AND(Ziele!$B$18="Plan bereit",2&lt;=Ziele!$B$5),Ziele!C11&gt;0,C76&gt;=Ziele!C11),2,"")</f>
        <v/>
      </c>
      <c r="K76" s="6" t="str">
        <f aca="false">IF(AND(AND(Ziele!$B$18="Plan bereit",2&lt;=Ziele!$B$5),Ziele!C12&gt;0,D76&gt;=Ziele!C12),2,"")</f>
        <v/>
      </c>
      <c r="L76" s="6" t="str">
        <f aca="false">IF(AND(AND(Ziele!$B$18="Plan bereit",2&lt;=Ziele!$B$5),Ziele!C13&gt;0,E76&gt;=Ziele!C13),2,"")</f>
        <v/>
      </c>
      <c r="M76" s="6" t="str">
        <f aca="false">IF(AND(AND(Ziele!$B$18="Plan bereit",2&lt;=Ziele!$B$5),Ziele!C14&gt;0,F76&gt;=Ziele!C14),2,"")</f>
        <v/>
      </c>
      <c r="N76" s="6" t="str">
        <f aca="false">IF(AND(AND(Ziele!$B$18="Plan bereit",2&lt;=Ziele!$B$5),Ziele!C15&gt;0,G76&gt;=Ziele!C15),2,"")</f>
        <v/>
      </c>
    </row>
    <row r="77" customFormat="false" ht="22.5" hidden="false" customHeight="true" outlineLevel="0" collapsed="false">
      <c r="A77" s="6" t="n">
        <f aca="false">IF(AND(Ziele!$B$18="Plan bereit",3&lt;=Ziele!$B$5),3,"")</f>
        <v>3</v>
      </c>
      <c r="B77" s="7" t="n">
        <f aca="false">IF(AND(Ziele!$B$18="Plan bereit",3&lt;=Ziele!$B$5),ROUND(B76+E9,2),"")</f>
        <v>8600</v>
      </c>
      <c r="C77" s="7" t="n">
        <f aca="false">IF(AND(Ziele!$B$18="Plan bereit",3&lt;=Ziele!$B$5),ROUND(C76+F9,2),"")</f>
        <v>18450</v>
      </c>
      <c r="D77" s="7" t="n">
        <f aca="false">IF(AND(Ziele!$B$18="Plan bereit",3&lt;=Ziele!$B$5),ROUND(D76+G9,2),"")</f>
        <v>0</v>
      </c>
      <c r="E77" s="7" t="n">
        <f aca="false">IF(AND(Ziele!$B$18="Plan bereit",3&lt;=Ziele!$B$5),ROUND(E76+H9,2),"")</f>
        <v>0</v>
      </c>
      <c r="F77" s="7" t="n">
        <f aca="false">IF(AND(Ziele!$B$18="Plan bereit",3&lt;=Ziele!$B$5),ROUND(F76+I9,2),"")</f>
        <v>0</v>
      </c>
      <c r="G77" s="7" t="n">
        <f aca="false">IF(AND(Ziele!$B$18="Plan bereit",3&lt;=Ziele!$B$5),ROUND(G76+J9,2),"")</f>
        <v>0</v>
      </c>
      <c r="H77" s="7" t="n">
        <f aca="false">IF(AND(Ziele!$B$18="Plan bereit",3&lt;=Ziele!$B$5),ROUND(SUM(B77:G77),2),"")</f>
        <v>27050</v>
      </c>
      <c r="I77" s="6" t="str">
        <f aca="false">IF(AND(AND(Ziele!$B$18="Plan bereit",3&lt;=Ziele!$B$5),Ziele!C10&gt;0,B77&gt;=Ziele!C10),3,"")</f>
        <v/>
      </c>
      <c r="J77" s="6" t="str">
        <f aca="false">IF(AND(AND(Ziele!$B$18="Plan bereit",3&lt;=Ziele!$B$5),Ziele!C11&gt;0,C77&gt;=Ziele!C11),3,"")</f>
        <v/>
      </c>
      <c r="K77" s="6" t="str">
        <f aca="false">IF(AND(AND(Ziele!$B$18="Plan bereit",3&lt;=Ziele!$B$5),Ziele!C12&gt;0,D77&gt;=Ziele!C12),3,"")</f>
        <v/>
      </c>
      <c r="L77" s="6" t="str">
        <f aca="false">IF(AND(AND(Ziele!$B$18="Plan bereit",3&lt;=Ziele!$B$5),Ziele!C13&gt;0,E77&gt;=Ziele!C13),3,"")</f>
        <v/>
      </c>
      <c r="M77" s="6" t="str">
        <f aca="false">IF(AND(AND(Ziele!$B$18="Plan bereit",3&lt;=Ziele!$B$5),Ziele!C14&gt;0,F77&gt;=Ziele!C14),3,"")</f>
        <v/>
      </c>
      <c r="N77" s="6" t="str">
        <f aca="false">IF(AND(AND(Ziele!$B$18="Plan bereit",3&lt;=Ziele!$B$5),Ziele!C15&gt;0,G77&gt;=Ziele!C15),3,"")</f>
        <v/>
      </c>
    </row>
    <row r="78" customFormat="false" ht="22.5" hidden="false" customHeight="true" outlineLevel="0" collapsed="false">
      <c r="A78" s="6" t="n">
        <f aca="false">IF(AND(Ziele!$B$18="Plan bereit",4&lt;=Ziele!$B$5),4,"")</f>
        <v>4</v>
      </c>
      <c r="B78" s="7" t="n">
        <f aca="false">IF(AND(Ziele!$B$18="Plan bereit",4&lt;=Ziele!$B$5),ROUND(B77+E10,2),"")</f>
        <v>8800</v>
      </c>
      <c r="C78" s="7" t="n">
        <f aca="false">IF(AND(Ziele!$B$18="Plan bereit",4&lt;=Ziele!$B$5),ROUND(C77+F10,2),"")</f>
        <v>18600</v>
      </c>
      <c r="D78" s="7" t="n">
        <f aca="false">IF(AND(Ziele!$B$18="Plan bereit",4&lt;=Ziele!$B$5),ROUND(D77+G10,2),"")</f>
        <v>0</v>
      </c>
      <c r="E78" s="7" t="n">
        <f aca="false">IF(AND(Ziele!$B$18="Plan bereit",4&lt;=Ziele!$B$5),ROUND(E77+H10,2),"")</f>
        <v>0</v>
      </c>
      <c r="F78" s="7" t="n">
        <f aca="false">IF(AND(Ziele!$B$18="Plan bereit",4&lt;=Ziele!$B$5),ROUND(F77+I10,2),"")</f>
        <v>0</v>
      </c>
      <c r="G78" s="7" t="n">
        <f aca="false">IF(AND(Ziele!$B$18="Plan bereit",4&lt;=Ziele!$B$5),ROUND(G77+J10,2),"")</f>
        <v>0</v>
      </c>
      <c r="H78" s="7" t="n">
        <f aca="false">IF(AND(Ziele!$B$18="Plan bereit",4&lt;=Ziele!$B$5),ROUND(SUM(B78:G78),2),"")</f>
        <v>27400</v>
      </c>
      <c r="I78" s="6" t="str">
        <f aca="false">IF(AND(AND(Ziele!$B$18="Plan bereit",4&lt;=Ziele!$B$5),Ziele!C10&gt;0,B78&gt;=Ziele!C10),4,"")</f>
        <v/>
      </c>
      <c r="J78" s="6" t="str">
        <f aca="false">IF(AND(AND(Ziele!$B$18="Plan bereit",4&lt;=Ziele!$B$5),Ziele!C11&gt;0,C78&gt;=Ziele!C11),4,"")</f>
        <v/>
      </c>
      <c r="K78" s="6" t="str">
        <f aca="false">IF(AND(AND(Ziele!$B$18="Plan bereit",4&lt;=Ziele!$B$5),Ziele!C12&gt;0,D78&gt;=Ziele!C12),4,"")</f>
        <v/>
      </c>
      <c r="L78" s="6" t="str">
        <f aca="false">IF(AND(AND(Ziele!$B$18="Plan bereit",4&lt;=Ziele!$B$5),Ziele!C13&gt;0,E78&gt;=Ziele!C13),4,"")</f>
        <v/>
      </c>
      <c r="M78" s="6" t="str">
        <f aca="false">IF(AND(AND(Ziele!$B$18="Plan bereit",4&lt;=Ziele!$B$5),Ziele!C14&gt;0,F78&gt;=Ziele!C14),4,"")</f>
        <v/>
      </c>
      <c r="N78" s="6" t="str">
        <f aca="false">IF(AND(AND(Ziele!$B$18="Plan bereit",4&lt;=Ziele!$B$5),Ziele!C15&gt;0,G78&gt;=Ziele!C15),4,"")</f>
        <v/>
      </c>
    </row>
    <row r="79" customFormat="false" ht="22.5" hidden="false" customHeight="true" outlineLevel="0" collapsed="false">
      <c r="A79" s="6" t="n">
        <f aca="false">IF(AND(Ziele!$B$18="Plan bereit",5&lt;=Ziele!$B$5),5,"")</f>
        <v>5</v>
      </c>
      <c r="B79" s="7" t="n">
        <f aca="false">IF(AND(Ziele!$B$18="Plan bereit",5&lt;=Ziele!$B$5),ROUND(B78+E11,2),"")</f>
        <v>9000</v>
      </c>
      <c r="C79" s="7" t="n">
        <f aca="false">IF(AND(Ziele!$B$18="Plan bereit",5&lt;=Ziele!$B$5),ROUND(C78+F11,2),"")</f>
        <v>18750</v>
      </c>
      <c r="D79" s="7" t="n">
        <f aca="false">IF(AND(Ziele!$B$18="Plan bereit",5&lt;=Ziele!$B$5),ROUND(D78+G11,2),"")</f>
        <v>0</v>
      </c>
      <c r="E79" s="7" t="n">
        <f aca="false">IF(AND(Ziele!$B$18="Plan bereit",5&lt;=Ziele!$B$5),ROUND(E78+H11,2),"")</f>
        <v>0</v>
      </c>
      <c r="F79" s="7" t="n">
        <f aca="false">IF(AND(Ziele!$B$18="Plan bereit",5&lt;=Ziele!$B$5),ROUND(F78+I11,2),"")</f>
        <v>0</v>
      </c>
      <c r="G79" s="7" t="n">
        <f aca="false">IF(AND(Ziele!$B$18="Plan bereit",5&lt;=Ziele!$B$5),ROUND(G78+J11,2),"")</f>
        <v>0</v>
      </c>
      <c r="H79" s="7" t="n">
        <f aca="false">IF(AND(Ziele!$B$18="Plan bereit",5&lt;=Ziele!$B$5),ROUND(SUM(B79:G79),2),"")</f>
        <v>27750</v>
      </c>
      <c r="I79" s="6" t="str">
        <f aca="false">IF(AND(AND(Ziele!$B$18="Plan bereit",5&lt;=Ziele!$B$5),Ziele!C10&gt;0,B79&gt;=Ziele!C10),5,"")</f>
        <v/>
      </c>
      <c r="J79" s="6" t="str">
        <f aca="false">IF(AND(AND(Ziele!$B$18="Plan bereit",5&lt;=Ziele!$B$5),Ziele!C11&gt;0,C79&gt;=Ziele!C11),5,"")</f>
        <v/>
      </c>
      <c r="K79" s="6" t="str">
        <f aca="false">IF(AND(AND(Ziele!$B$18="Plan bereit",5&lt;=Ziele!$B$5),Ziele!C12&gt;0,D79&gt;=Ziele!C12),5,"")</f>
        <v/>
      </c>
      <c r="L79" s="6" t="str">
        <f aca="false">IF(AND(AND(Ziele!$B$18="Plan bereit",5&lt;=Ziele!$B$5),Ziele!C13&gt;0,E79&gt;=Ziele!C13),5,"")</f>
        <v/>
      </c>
      <c r="M79" s="6" t="str">
        <f aca="false">IF(AND(AND(Ziele!$B$18="Plan bereit",5&lt;=Ziele!$B$5),Ziele!C14&gt;0,F79&gt;=Ziele!C14),5,"")</f>
        <v/>
      </c>
      <c r="N79" s="6" t="str">
        <f aca="false">IF(AND(AND(Ziele!$B$18="Plan bereit",5&lt;=Ziele!$B$5),Ziele!C15&gt;0,G79&gt;=Ziele!C15),5,"")</f>
        <v/>
      </c>
    </row>
    <row r="80" customFormat="false" ht="22.5" hidden="false" customHeight="true" outlineLevel="0" collapsed="false">
      <c r="A80" s="6" t="n">
        <f aca="false">IF(AND(Ziele!$B$18="Plan bereit",6&lt;=Ziele!$B$5),6,"")</f>
        <v>6</v>
      </c>
      <c r="B80" s="7" t="n">
        <f aca="false">IF(AND(Ziele!$B$18="Plan bereit",6&lt;=Ziele!$B$5),ROUND(B79+E12,2),"")</f>
        <v>9200</v>
      </c>
      <c r="C80" s="7" t="n">
        <f aca="false">IF(AND(Ziele!$B$18="Plan bereit",6&lt;=Ziele!$B$5),ROUND(C79+F12,2),"")</f>
        <v>18900</v>
      </c>
      <c r="D80" s="7" t="n">
        <f aca="false">IF(AND(Ziele!$B$18="Plan bereit",6&lt;=Ziele!$B$5),ROUND(D79+G12,2),"")</f>
        <v>0</v>
      </c>
      <c r="E80" s="7" t="n">
        <f aca="false">IF(AND(Ziele!$B$18="Plan bereit",6&lt;=Ziele!$B$5),ROUND(E79+H12,2),"")</f>
        <v>0</v>
      </c>
      <c r="F80" s="7" t="n">
        <f aca="false">IF(AND(Ziele!$B$18="Plan bereit",6&lt;=Ziele!$B$5),ROUND(F79+I12,2),"")</f>
        <v>0</v>
      </c>
      <c r="G80" s="7" t="n">
        <f aca="false">IF(AND(Ziele!$B$18="Plan bereit",6&lt;=Ziele!$B$5),ROUND(G79+J12,2),"")</f>
        <v>0</v>
      </c>
      <c r="H80" s="7" t="n">
        <f aca="false">IF(AND(Ziele!$B$18="Plan bereit",6&lt;=Ziele!$B$5),ROUND(SUM(B80:G80),2),"")</f>
        <v>28100</v>
      </c>
      <c r="I80" s="6" t="str">
        <f aca="false">IF(AND(AND(Ziele!$B$18="Plan bereit",6&lt;=Ziele!$B$5),Ziele!C10&gt;0,B80&gt;=Ziele!C10),6,"")</f>
        <v/>
      </c>
      <c r="J80" s="6" t="str">
        <f aca="false">IF(AND(AND(Ziele!$B$18="Plan bereit",6&lt;=Ziele!$B$5),Ziele!C11&gt;0,C80&gt;=Ziele!C11),6,"")</f>
        <v/>
      </c>
      <c r="K80" s="6" t="str">
        <f aca="false">IF(AND(AND(Ziele!$B$18="Plan bereit",6&lt;=Ziele!$B$5),Ziele!C12&gt;0,D80&gt;=Ziele!C12),6,"")</f>
        <v/>
      </c>
      <c r="L80" s="6" t="str">
        <f aca="false">IF(AND(AND(Ziele!$B$18="Plan bereit",6&lt;=Ziele!$B$5),Ziele!C13&gt;0,E80&gt;=Ziele!C13),6,"")</f>
        <v/>
      </c>
      <c r="M80" s="6" t="str">
        <f aca="false">IF(AND(AND(Ziele!$B$18="Plan bereit",6&lt;=Ziele!$B$5),Ziele!C14&gt;0,F80&gt;=Ziele!C14),6,"")</f>
        <v/>
      </c>
      <c r="N80" s="6" t="str">
        <f aca="false">IF(AND(AND(Ziele!$B$18="Plan bereit",6&lt;=Ziele!$B$5),Ziele!C15&gt;0,G80&gt;=Ziele!C15),6,"")</f>
        <v/>
      </c>
    </row>
    <row r="81" customFormat="false" ht="22.5" hidden="false" customHeight="true" outlineLevel="0" collapsed="false">
      <c r="A81" s="6" t="n">
        <f aca="false">IF(AND(Ziele!$B$18="Plan bereit",7&lt;=Ziele!$B$5),7,"")</f>
        <v>7</v>
      </c>
      <c r="B81" s="7" t="n">
        <f aca="false">IF(AND(Ziele!$B$18="Plan bereit",7&lt;=Ziele!$B$5),ROUND(B80+E13,2),"")</f>
        <v>9400</v>
      </c>
      <c r="C81" s="7" t="n">
        <f aca="false">IF(AND(Ziele!$B$18="Plan bereit",7&lt;=Ziele!$B$5),ROUND(C80+F13,2),"")</f>
        <v>19050</v>
      </c>
      <c r="D81" s="7" t="n">
        <f aca="false">IF(AND(Ziele!$B$18="Plan bereit",7&lt;=Ziele!$B$5),ROUND(D80+G13,2),"")</f>
        <v>0</v>
      </c>
      <c r="E81" s="7" t="n">
        <f aca="false">IF(AND(Ziele!$B$18="Plan bereit",7&lt;=Ziele!$B$5),ROUND(E80+H13,2),"")</f>
        <v>0</v>
      </c>
      <c r="F81" s="7" t="n">
        <f aca="false">IF(AND(Ziele!$B$18="Plan bereit",7&lt;=Ziele!$B$5),ROUND(F80+I13,2),"")</f>
        <v>0</v>
      </c>
      <c r="G81" s="7" t="n">
        <f aca="false">IF(AND(Ziele!$B$18="Plan bereit",7&lt;=Ziele!$B$5),ROUND(G80+J13,2),"")</f>
        <v>0</v>
      </c>
      <c r="H81" s="7" t="n">
        <f aca="false">IF(AND(Ziele!$B$18="Plan bereit",7&lt;=Ziele!$B$5),ROUND(SUM(B81:G81),2),"")</f>
        <v>28450</v>
      </c>
      <c r="I81" s="6" t="str">
        <f aca="false">IF(AND(AND(Ziele!$B$18="Plan bereit",7&lt;=Ziele!$B$5),Ziele!C10&gt;0,B81&gt;=Ziele!C10),7,"")</f>
        <v/>
      </c>
      <c r="J81" s="6" t="str">
        <f aca="false">IF(AND(AND(Ziele!$B$18="Plan bereit",7&lt;=Ziele!$B$5),Ziele!C11&gt;0,C81&gt;=Ziele!C11),7,"")</f>
        <v/>
      </c>
      <c r="K81" s="6" t="str">
        <f aca="false">IF(AND(AND(Ziele!$B$18="Plan bereit",7&lt;=Ziele!$B$5),Ziele!C12&gt;0,D81&gt;=Ziele!C12),7,"")</f>
        <v/>
      </c>
      <c r="L81" s="6" t="str">
        <f aca="false">IF(AND(AND(Ziele!$B$18="Plan bereit",7&lt;=Ziele!$B$5),Ziele!C13&gt;0,E81&gt;=Ziele!C13),7,"")</f>
        <v/>
      </c>
      <c r="M81" s="6" t="str">
        <f aca="false">IF(AND(AND(Ziele!$B$18="Plan bereit",7&lt;=Ziele!$B$5),Ziele!C14&gt;0,F81&gt;=Ziele!C14),7,"")</f>
        <v/>
      </c>
      <c r="N81" s="6" t="str">
        <f aca="false">IF(AND(AND(Ziele!$B$18="Plan bereit",7&lt;=Ziele!$B$5),Ziele!C15&gt;0,G81&gt;=Ziele!C15),7,"")</f>
        <v/>
      </c>
    </row>
    <row r="82" customFormat="false" ht="22.5" hidden="false" customHeight="true" outlineLevel="0" collapsed="false">
      <c r="A82" s="6" t="n">
        <f aca="false">IF(AND(Ziele!$B$18="Plan bereit",8&lt;=Ziele!$B$5),8,"")</f>
        <v>8</v>
      </c>
      <c r="B82" s="7" t="n">
        <f aca="false">IF(AND(Ziele!$B$18="Plan bereit",8&lt;=Ziele!$B$5),ROUND(B81+E14,2),"")</f>
        <v>9600</v>
      </c>
      <c r="C82" s="7" t="n">
        <f aca="false">IF(AND(Ziele!$B$18="Plan bereit",8&lt;=Ziele!$B$5),ROUND(C81+F14,2),"")</f>
        <v>19200</v>
      </c>
      <c r="D82" s="7" t="n">
        <f aca="false">IF(AND(Ziele!$B$18="Plan bereit",8&lt;=Ziele!$B$5),ROUND(D81+G14,2),"")</f>
        <v>0</v>
      </c>
      <c r="E82" s="7" t="n">
        <f aca="false">IF(AND(Ziele!$B$18="Plan bereit",8&lt;=Ziele!$B$5),ROUND(E81+H14,2),"")</f>
        <v>0</v>
      </c>
      <c r="F82" s="7" t="n">
        <f aca="false">IF(AND(Ziele!$B$18="Plan bereit",8&lt;=Ziele!$B$5),ROUND(F81+I14,2),"")</f>
        <v>0</v>
      </c>
      <c r="G82" s="7" t="n">
        <f aca="false">IF(AND(Ziele!$B$18="Plan bereit",8&lt;=Ziele!$B$5),ROUND(G81+J14,2),"")</f>
        <v>0</v>
      </c>
      <c r="H82" s="7" t="n">
        <f aca="false">IF(AND(Ziele!$B$18="Plan bereit",8&lt;=Ziele!$B$5),ROUND(SUM(B82:G82),2),"")</f>
        <v>28800</v>
      </c>
      <c r="I82" s="6" t="str">
        <f aca="false">IF(AND(AND(Ziele!$B$18="Plan bereit",8&lt;=Ziele!$B$5),Ziele!C10&gt;0,B82&gt;=Ziele!C10),8,"")</f>
        <v/>
      </c>
      <c r="J82" s="6" t="str">
        <f aca="false">IF(AND(AND(Ziele!$B$18="Plan bereit",8&lt;=Ziele!$B$5),Ziele!C11&gt;0,C82&gt;=Ziele!C11),8,"")</f>
        <v/>
      </c>
      <c r="K82" s="6" t="str">
        <f aca="false">IF(AND(AND(Ziele!$B$18="Plan bereit",8&lt;=Ziele!$B$5),Ziele!C12&gt;0,D82&gt;=Ziele!C12),8,"")</f>
        <v/>
      </c>
      <c r="L82" s="6" t="str">
        <f aca="false">IF(AND(AND(Ziele!$B$18="Plan bereit",8&lt;=Ziele!$B$5),Ziele!C13&gt;0,E82&gt;=Ziele!C13),8,"")</f>
        <v/>
      </c>
      <c r="M82" s="6" t="str">
        <f aca="false">IF(AND(AND(Ziele!$B$18="Plan bereit",8&lt;=Ziele!$B$5),Ziele!C14&gt;0,F82&gt;=Ziele!C14),8,"")</f>
        <v/>
      </c>
      <c r="N82" s="6" t="str">
        <f aca="false">IF(AND(AND(Ziele!$B$18="Plan bereit",8&lt;=Ziele!$B$5),Ziele!C15&gt;0,G82&gt;=Ziele!C15),8,"")</f>
        <v/>
      </c>
    </row>
    <row r="83" customFormat="false" ht="22.5" hidden="false" customHeight="true" outlineLevel="0" collapsed="false">
      <c r="A83" s="6" t="n">
        <f aca="false">IF(AND(Ziele!$B$18="Plan bereit",9&lt;=Ziele!$B$5),9,"")</f>
        <v>9</v>
      </c>
      <c r="B83" s="7" t="n">
        <f aca="false">IF(AND(Ziele!$B$18="Plan bereit",9&lt;=Ziele!$B$5),ROUND(B82+E15,2),"")</f>
        <v>9800</v>
      </c>
      <c r="C83" s="7" t="n">
        <f aca="false">IF(AND(Ziele!$B$18="Plan bereit",9&lt;=Ziele!$B$5),ROUND(C82+F15,2),"")</f>
        <v>19350</v>
      </c>
      <c r="D83" s="7" t="n">
        <f aca="false">IF(AND(Ziele!$B$18="Plan bereit",9&lt;=Ziele!$B$5),ROUND(D82+G15,2),"")</f>
        <v>0</v>
      </c>
      <c r="E83" s="7" t="n">
        <f aca="false">IF(AND(Ziele!$B$18="Plan bereit",9&lt;=Ziele!$B$5),ROUND(E82+H15,2),"")</f>
        <v>0</v>
      </c>
      <c r="F83" s="7" t="n">
        <f aca="false">IF(AND(Ziele!$B$18="Plan bereit",9&lt;=Ziele!$B$5),ROUND(F82+I15,2),"")</f>
        <v>0</v>
      </c>
      <c r="G83" s="7" t="n">
        <f aca="false">IF(AND(Ziele!$B$18="Plan bereit",9&lt;=Ziele!$B$5),ROUND(G82+J15,2),"")</f>
        <v>0</v>
      </c>
      <c r="H83" s="7" t="n">
        <f aca="false">IF(AND(Ziele!$B$18="Plan bereit",9&lt;=Ziele!$B$5),ROUND(SUM(B83:G83),2),"")</f>
        <v>29150</v>
      </c>
      <c r="I83" s="6" t="str">
        <f aca="false">IF(AND(AND(Ziele!$B$18="Plan bereit",9&lt;=Ziele!$B$5),Ziele!C10&gt;0,B83&gt;=Ziele!C10),9,"")</f>
        <v/>
      </c>
      <c r="J83" s="6" t="str">
        <f aca="false">IF(AND(AND(Ziele!$B$18="Plan bereit",9&lt;=Ziele!$B$5),Ziele!C11&gt;0,C83&gt;=Ziele!C11),9,"")</f>
        <v/>
      </c>
      <c r="K83" s="6" t="str">
        <f aca="false">IF(AND(AND(Ziele!$B$18="Plan bereit",9&lt;=Ziele!$B$5),Ziele!C12&gt;0,D83&gt;=Ziele!C12),9,"")</f>
        <v/>
      </c>
      <c r="L83" s="6" t="str">
        <f aca="false">IF(AND(AND(Ziele!$B$18="Plan bereit",9&lt;=Ziele!$B$5),Ziele!C13&gt;0,E83&gt;=Ziele!C13),9,"")</f>
        <v/>
      </c>
      <c r="M83" s="6" t="str">
        <f aca="false">IF(AND(AND(Ziele!$B$18="Plan bereit",9&lt;=Ziele!$B$5),Ziele!C14&gt;0,F83&gt;=Ziele!C14),9,"")</f>
        <v/>
      </c>
      <c r="N83" s="6" t="str">
        <f aca="false">IF(AND(AND(Ziele!$B$18="Plan bereit",9&lt;=Ziele!$B$5),Ziele!C15&gt;0,G83&gt;=Ziele!C15),9,"")</f>
        <v/>
      </c>
    </row>
    <row r="84" customFormat="false" ht="22.5" hidden="false" customHeight="true" outlineLevel="0" collapsed="false">
      <c r="A84" s="6" t="n">
        <f aca="false">IF(AND(Ziele!$B$18="Plan bereit",10&lt;=Ziele!$B$5),10,"")</f>
        <v>10</v>
      </c>
      <c r="B84" s="7" t="n">
        <f aca="false">IF(AND(Ziele!$B$18="Plan bereit",10&lt;=Ziele!$B$5),ROUND(B83+E16,2),"")</f>
        <v>10000</v>
      </c>
      <c r="C84" s="7" t="n">
        <f aca="false">IF(AND(Ziele!$B$18="Plan bereit",10&lt;=Ziele!$B$5),ROUND(C83+F16,2),"")</f>
        <v>19500</v>
      </c>
      <c r="D84" s="7" t="n">
        <f aca="false">IF(AND(Ziele!$B$18="Plan bereit",10&lt;=Ziele!$B$5),ROUND(D83+G16,2),"")</f>
        <v>0</v>
      </c>
      <c r="E84" s="7" t="n">
        <f aca="false">IF(AND(Ziele!$B$18="Plan bereit",10&lt;=Ziele!$B$5),ROUND(E83+H16,2),"")</f>
        <v>0</v>
      </c>
      <c r="F84" s="7" t="n">
        <f aca="false">IF(AND(Ziele!$B$18="Plan bereit",10&lt;=Ziele!$B$5),ROUND(F83+I16,2),"")</f>
        <v>0</v>
      </c>
      <c r="G84" s="7" t="n">
        <f aca="false">IF(AND(Ziele!$B$18="Plan bereit",10&lt;=Ziele!$B$5),ROUND(G83+J16,2),"")</f>
        <v>0</v>
      </c>
      <c r="H84" s="7" t="n">
        <f aca="false">IF(AND(Ziele!$B$18="Plan bereit",10&lt;=Ziele!$B$5),ROUND(SUM(B84:G84),2),"")</f>
        <v>29500</v>
      </c>
      <c r="I84" s="6" t="n">
        <f aca="false">IF(AND(AND(Ziele!$B$18="Plan bereit",10&lt;=Ziele!$B$5),Ziele!C10&gt;0,B84&gt;=Ziele!C10),10,"")</f>
        <v>10</v>
      </c>
      <c r="J84" s="6" t="str">
        <f aca="false">IF(AND(AND(Ziele!$B$18="Plan bereit",10&lt;=Ziele!$B$5),Ziele!C11&gt;0,C84&gt;=Ziele!C11),10,"")</f>
        <v/>
      </c>
      <c r="K84" s="6" t="str">
        <f aca="false">IF(AND(AND(Ziele!$B$18="Plan bereit",10&lt;=Ziele!$B$5),Ziele!C12&gt;0,D84&gt;=Ziele!C12),10,"")</f>
        <v/>
      </c>
      <c r="L84" s="6" t="str">
        <f aca="false">IF(AND(AND(Ziele!$B$18="Plan bereit",10&lt;=Ziele!$B$5),Ziele!C13&gt;0,E84&gt;=Ziele!C13),10,"")</f>
        <v/>
      </c>
      <c r="M84" s="6" t="str">
        <f aca="false">IF(AND(AND(Ziele!$B$18="Plan bereit",10&lt;=Ziele!$B$5),Ziele!C14&gt;0,F84&gt;=Ziele!C14),10,"")</f>
        <v/>
      </c>
      <c r="N84" s="6" t="str">
        <f aca="false">IF(AND(AND(Ziele!$B$18="Plan bereit",10&lt;=Ziele!$B$5),Ziele!C15&gt;0,G84&gt;=Ziele!C15),10,"")</f>
        <v/>
      </c>
    </row>
    <row r="85" customFormat="false" ht="22.5" hidden="false" customHeight="true" outlineLevel="0" collapsed="false">
      <c r="A85" s="6" t="n">
        <f aca="false">IF(AND(Ziele!$B$18="Plan bereit",11&lt;=Ziele!$B$5),11,"")</f>
        <v>11</v>
      </c>
      <c r="B85" s="7" t="n">
        <f aca="false">IF(AND(Ziele!$B$18="Plan bereit",11&lt;=Ziele!$B$5),ROUND(B84+E17,2),"")</f>
        <v>10000</v>
      </c>
      <c r="C85" s="7" t="n">
        <f aca="false">IF(AND(Ziele!$B$18="Plan bereit",11&lt;=Ziele!$B$5),ROUND(C84+F17,2),"")</f>
        <v>19850</v>
      </c>
      <c r="D85" s="7" t="n">
        <f aca="false">IF(AND(Ziele!$B$18="Plan bereit",11&lt;=Ziele!$B$5),ROUND(D84+G17,2),"")</f>
        <v>0</v>
      </c>
      <c r="E85" s="7" t="n">
        <f aca="false">IF(AND(Ziele!$B$18="Plan bereit",11&lt;=Ziele!$B$5),ROUND(E84+H17,2),"")</f>
        <v>0</v>
      </c>
      <c r="F85" s="7" t="n">
        <f aca="false">IF(AND(Ziele!$B$18="Plan bereit",11&lt;=Ziele!$B$5),ROUND(F84+I17,2),"")</f>
        <v>0</v>
      </c>
      <c r="G85" s="7" t="n">
        <f aca="false">IF(AND(Ziele!$B$18="Plan bereit",11&lt;=Ziele!$B$5),ROUND(G84+J17,2),"")</f>
        <v>0</v>
      </c>
      <c r="H85" s="7" t="n">
        <f aca="false">IF(AND(Ziele!$B$18="Plan bereit",11&lt;=Ziele!$B$5),ROUND(SUM(B85:G85),2),"")</f>
        <v>29850</v>
      </c>
      <c r="I85" s="6" t="n">
        <f aca="false">IF(AND(AND(Ziele!$B$18="Plan bereit",11&lt;=Ziele!$B$5),Ziele!C10&gt;0,B85&gt;=Ziele!C10),11,"")</f>
        <v>11</v>
      </c>
      <c r="J85" s="6" t="str">
        <f aca="false">IF(AND(AND(Ziele!$B$18="Plan bereit",11&lt;=Ziele!$B$5),Ziele!C11&gt;0,C85&gt;=Ziele!C11),11,"")</f>
        <v/>
      </c>
      <c r="K85" s="6" t="str">
        <f aca="false">IF(AND(AND(Ziele!$B$18="Plan bereit",11&lt;=Ziele!$B$5),Ziele!C12&gt;0,D85&gt;=Ziele!C12),11,"")</f>
        <v/>
      </c>
      <c r="L85" s="6" t="str">
        <f aca="false">IF(AND(AND(Ziele!$B$18="Plan bereit",11&lt;=Ziele!$B$5),Ziele!C13&gt;0,E85&gt;=Ziele!C13),11,"")</f>
        <v/>
      </c>
      <c r="M85" s="6" t="str">
        <f aca="false">IF(AND(AND(Ziele!$B$18="Plan bereit",11&lt;=Ziele!$B$5),Ziele!C14&gt;0,F85&gt;=Ziele!C14),11,"")</f>
        <v/>
      </c>
      <c r="N85" s="6" t="str">
        <f aca="false">IF(AND(AND(Ziele!$B$18="Plan bereit",11&lt;=Ziele!$B$5),Ziele!C15&gt;0,G85&gt;=Ziele!C15),11,"")</f>
        <v/>
      </c>
    </row>
    <row r="86" customFormat="false" ht="22.5" hidden="false" customHeight="true" outlineLevel="0" collapsed="false">
      <c r="A86" s="6" t="n">
        <f aca="false">IF(AND(Ziele!$B$18="Plan bereit",12&lt;=Ziele!$B$5),12,"")</f>
        <v>12</v>
      </c>
      <c r="B86" s="7" t="n">
        <f aca="false">IF(AND(Ziele!$B$18="Plan bereit",12&lt;=Ziele!$B$5),ROUND(B85+E18,2),"")</f>
        <v>10000</v>
      </c>
      <c r="C86" s="7" t="n">
        <f aca="false">IF(AND(Ziele!$B$18="Plan bereit",12&lt;=Ziele!$B$5),ROUND(C85+F18,2),"")</f>
        <v>20200</v>
      </c>
      <c r="D86" s="7" t="n">
        <f aca="false">IF(AND(Ziele!$B$18="Plan bereit",12&lt;=Ziele!$B$5),ROUND(D85+G18,2),"")</f>
        <v>0</v>
      </c>
      <c r="E86" s="7" t="n">
        <f aca="false">IF(AND(Ziele!$B$18="Plan bereit",12&lt;=Ziele!$B$5),ROUND(E85+H18,2),"")</f>
        <v>0</v>
      </c>
      <c r="F86" s="7" t="n">
        <f aca="false">IF(AND(Ziele!$B$18="Plan bereit",12&lt;=Ziele!$B$5),ROUND(F85+I18,2),"")</f>
        <v>0</v>
      </c>
      <c r="G86" s="7" t="n">
        <f aca="false">IF(AND(Ziele!$B$18="Plan bereit",12&lt;=Ziele!$B$5),ROUND(G85+J18,2),"")</f>
        <v>0</v>
      </c>
      <c r="H86" s="7" t="n">
        <f aca="false">IF(AND(Ziele!$B$18="Plan bereit",12&lt;=Ziele!$B$5),ROUND(SUM(B86:G86),2),"")</f>
        <v>30200</v>
      </c>
      <c r="I86" s="6" t="n">
        <f aca="false">IF(AND(AND(Ziele!$B$18="Plan bereit",12&lt;=Ziele!$B$5),Ziele!C10&gt;0,B86&gt;=Ziele!C10),12,"")</f>
        <v>12</v>
      </c>
      <c r="J86" s="6" t="str">
        <f aca="false">IF(AND(AND(Ziele!$B$18="Plan bereit",12&lt;=Ziele!$B$5),Ziele!C11&gt;0,C86&gt;=Ziele!C11),12,"")</f>
        <v/>
      </c>
      <c r="K86" s="6" t="str">
        <f aca="false">IF(AND(AND(Ziele!$B$18="Plan bereit",12&lt;=Ziele!$B$5),Ziele!C12&gt;0,D86&gt;=Ziele!C12),12,"")</f>
        <v/>
      </c>
      <c r="L86" s="6" t="str">
        <f aca="false">IF(AND(AND(Ziele!$B$18="Plan bereit",12&lt;=Ziele!$B$5),Ziele!C13&gt;0,E86&gt;=Ziele!C13),12,"")</f>
        <v/>
      </c>
      <c r="M86" s="6" t="str">
        <f aca="false">IF(AND(AND(Ziele!$B$18="Plan bereit",12&lt;=Ziele!$B$5),Ziele!C14&gt;0,F86&gt;=Ziele!C14),12,"")</f>
        <v/>
      </c>
      <c r="N86" s="6" t="str">
        <f aca="false">IF(AND(AND(Ziele!$B$18="Plan bereit",12&lt;=Ziele!$B$5),Ziele!C15&gt;0,G86&gt;=Ziele!C15),12,"")</f>
        <v/>
      </c>
    </row>
    <row r="87" customFormat="false" ht="22.5" hidden="false" customHeight="true" outlineLevel="0" collapsed="false">
      <c r="A87" s="6" t="n">
        <f aca="false">IF(AND(Ziele!$B$18="Plan bereit",13&lt;=Ziele!$B$5),13,"")</f>
        <v>13</v>
      </c>
      <c r="B87" s="7" t="n">
        <f aca="false">IF(AND(Ziele!$B$18="Plan bereit",13&lt;=Ziele!$B$5),ROUND(B86+E19,2),"")</f>
        <v>10000</v>
      </c>
      <c r="C87" s="7" t="n">
        <f aca="false">IF(AND(Ziele!$B$18="Plan bereit",13&lt;=Ziele!$B$5),ROUND(C86+F19,2),"")</f>
        <v>20550</v>
      </c>
      <c r="D87" s="7" t="n">
        <f aca="false">IF(AND(Ziele!$B$18="Plan bereit",13&lt;=Ziele!$B$5),ROUND(D86+G19,2),"")</f>
        <v>0</v>
      </c>
      <c r="E87" s="7" t="n">
        <f aca="false">IF(AND(Ziele!$B$18="Plan bereit",13&lt;=Ziele!$B$5),ROUND(E86+H19,2),"")</f>
        <v>0</v>
      </c>
      <c r="F87" s="7" t="n">
        <f aca="false">IF(AND(Ziele!$B$18="Plan bereit",13&lt;=Ziele!$B$5),ROUND(F86+I19,2),"")</f>
        <v>0</v>
      </c>
      <c r="G87" s="7" t="n">
        <f aca="false">IF(AND(Ziele!$B$18="Plan bereit",13&lt;=Ziele!$B$5),ROUND(G86+J19,2),"")</f>
        <v>0</v>
      </c>
      <c r="H87" s="7" t="n">
        <f aca="false">IF(AND(Ziele!$B$18="Plan bereit",13&lt;=Ziele!$B$5),ROUND(SUM(B87:G87),2),"")</f>
        <v>30550</v>
      </c>
      <c r="I87" s="6" t="n">
        <f aca="false">IF(AND(AND(Ziele!$B$18="Plan bereit",13&lt;=Ziele!$B$5),Ziele!C10&gt;0,B87&gt;=Ziele!C10),13,"")</f>
        <v>13</v>
      </c>
      <c r="J87" s="6" t="str">
        <f aca="false">IF(AND(AND(Ziele!$B$18="Plan bereit",13&lt;=Ziele!$B$5),Ziele!C11&gt;0,C87&gt;=Ziele!C11),13,"")</f>
        <v/>
      </c>
      <c r="K87" s="6" t="str">
        <f aca="false">IF(AND(AND(Ziele!$B$18="Plan bereit",13&lt;=Ziele!$B$5),Ziele!C12&gt;0,D87&gt;=Ziele!C12),13,"")</f>
        <v/>
      </c>
      <c r="L87" s="6" t="str">
        <f aca="false">IF(AND(AND(Ziele!$B$18="Plan bereit",13&lt;=Ziele!$B$5),Ziele!C13&gt;0,E87&gt;=Ziele!C13),13,"")</f>
        <v/>
      </c>
      <c r="M87" s="6" t="str">
        <f aca="false">IF(AND(AND(Ziele!$B$18="Plan bereit",13&lt;=Ziele!$B$5),Ziele!C14&gt;0,F87&gt;=Ziele!C14),13,"")</f>
        <v/>
      </c>
      <c r="N87" s="6" t="str">
        <f aca="false">IF(AND(AND(Ziele!$B$18="Plan bereit",13&lt;=Ziele!$B$5),Ziele!C15&gt;0,G87&gt;=Ziele!C15),13,"")</f>
        <v/>
      </c>
    </row>
    <row r="88" customFormat="false" ht="22.5" hidden="false" customHeight="true" outlineLevel="0" collapsed="false">
      <c r="A88" s="6" t="n">
        <f aca="false">IF(AND(Ziele!$B$18="Plan bereit",14&lt;=Ziele!$B$5),14,"")</f>
        <v>14</v>
      </c>
      <c r="B88" s="7" t="n">
        <f aca="false">IF(AND(Ziele!$B$18="Plan bereit",14&lt;=Ziele!$B$5),ROUND(B87+E20,2),"")</f>
        <v>10000</v>
      </c>
      <c r="C88" s="7" t="n">
        <f aca="false">IF(AND(Ziele!$B$18="Plan bereit",14&lt;=Ziele!$B$5),ROUND(C87+F20,2),"")</f>
        <v>20900</v>
      </c>
      <c r="D88" s="7" t="n">
        <f aca="false">IF(AND(Ziele!$B$18="Plan bereit",14&lt;=Ziele!$B$5),ROUND(D87+G20,2),"")</f>
        <v>0</v>
      </c>
      <c r="E88" s="7" t="n">
        <f aca="false">IF(AND(Ziele!$B$18="Plan bereit",14&lt;=Ziele!$B$5),ROUND(E87+H20,2),"")</f>
        <v>0</v>
      </c>
      <c r="F88" s="7" t="n">
        <f aca="false">IF(AND(Ziele!$B$18="Plan bereit",14&lt;=Ziele!$B$5),ROUND(F87+I20,2),"")</f>
        <v>0</v>
      </c>
      <c r="G88" s="7" t="n">
        <f aca="false">IF(AND(Ziele!$B$18="Plan bereit",14&lt;=Ziele!$B$5),ROUND(G87+J20,2),"")</f>
        <v>0</v>
      </c>
      <c r="H88" s="7" t="n">
        <f aca="false">IF(AND(Ziele!$B$18="Plan bereit",14&lt;=Ziele!$B$5),ROUND(SUM(B88:G88),2),"")</f>
        <v>30900</v>
      </c>
      <c r="I88" s="6" t="n">
        <f aca="false">IF(AND(AND(Ziele!$B$18="Plan bereit",14&lt;=Ziele!$B$5),Ziele!C10&gt;0,B88&gt;=Ziele!C10),14,"")</f>
        <v>14</v>
      </c>
      <c r="J88" s="6" t="str">
        <f aca="false">IF(AND(AND(Ziele!$B$18="Plan bereit",14&lt;=Ziele!$B$5),Ziele!C11&gt;0,C88&gt;=Ziele!C11),14,"")</f>
        <v/>
      </c>
      <c r="K88" s="6" t="str">
        <f aca="false">IF(AND(AND(Ziele!$B$18="Plan bereit",14&lt;=Ziele!$B$5),Ziele!C12&gt;0,D88&gt;=Ziele!C12),14,"")</f>
        <v/>
      </c>
      <c r="L88" s="6" t="str">
        <f aca="false">IF(AND(AND(Ziele!$B$18="Plan bereit",14&lt;=Ziele!$B$5),Ziele!C13&gt;0,E88&gt;=Ziele!C13),14,"")</f>
        <v/>
      </c>
      <c r="M88" s="6" t="str">
        <f aca="false">IF(AND(AND(Ziele!$B$18="Plan bereit",14&lt;=Ziele!$B$5),Ziele!C14&gt;0,F88&gt;=Ziele!C14),14,"")</f>
        <v/>
      </c>
      <c r="N88" s="6" t="str">
        <f aca="false">IF(AND(AND(Ziele!$B$18="Plan bereit",14&lt;=Ziele!$B$5),Ziele!C15&gt;0,G88&gt;=Ziele!C15),14,"")</f>
        <v/>
      </c>
    </row>
    <row r="89" customFormat="false" ht="22.5" hidden="false" customHeight="true" outlineLevel="0" collapsed="false">
      <c r="A89" s="6" t="n">
        <f aca="false">IF(AND(Ziele!$B$18="Plan bereit",15&lt;=Ziele!$B$5),15,"")</f>
        <v>15</v>
      </c>
      <c r="B89" s="7" t="n">
        <f aca="false">IF(AND(Ziele!$B$18="Plan bereit",15&lt;=Ziele!$B$5),ROUND(B88+E21,2),"")</f>
        <v>10000</v>
      </c>
      <c r="C89" s="7" t="n">
        <f aca="false">IF(AND(Ziele!$B$18="Plan bereit",15&lt;=Ziele!$B$5),ROUND(C88+F21,2),"")</f>
        <v>21250</v>
      </c>
      <c r="D89" s="7" t="n">
        <f aca="false">IF(AND(Ziele!$B$18="Plan bereit",15&lt;=Ziele!$B$5),ROUND(D88+G21,2),"")</f>
        <v>0</v>
      </c>
      <c r="E89" s="7" t="n">
        <f aca="false">IF(AND(Ziele!$B$18="Plan bereit",15&lt;=Ziele!$B$5),ROUND(E88+H21,2),"")</f>
        <v>0</v>
      </c>
      <c r="F89" s="7" t="n">
        <f aca="false">IF(AND(Ziele!$B$18="Plan bereit",15&lt;=Ziele!$B$5),ROUND(F88+I21,2),"")</f>
        <v>0</v>
      </c>
      <c r="G89" s="7" t="n">
        <f aca="false">IF(AND(Ziele!$B$18="Plan bereit",15&lt;=Ziele!$B$5),ROUND(G88+J21,2),"")</f>
        <v>0</v>
      </c>
      <c r="H89" s="7" t="n">
        <f aca="false">IF(AND(Ziele!$B$18="Plan bereit",15&lt;=Ziele!$B$5),ROUND(SUM(B89:G89),2),"")</f>
        <v>31250</v>
      </c>
      <c r="I89" s="6" t="n">
        <f aca="false">IF(AND(AND(Ziele!$B$18="Plan bereit",15&lt;=Ziele!$B$5),Ziele!C10&gt;0,B89&gt;=Ziele!C10),15,"")</f>
        <v>15</v>
      </c>
      <c r="J89" s="6" t="str">
        <f aca="false">IF(AND(AND(Ziele!$B$18="Plan bereit",15&lt;=Ziele!$B$5),Ziele!C11&gt;0,C89&gt;=Ziele!C11),15,"")</f>
        <v/>
      </c>
      <c r="K89" s="6" t="str">
        <f aca="false">IF(AND(AND(Ziele!$B$18="Plan bereit",15&lt;=Ziele!$B$5),Ziele!C12&gt;0,D89&gt;=Ziele!C12),15,"")</f>
        <v/>
      </c>
      <c r="L89" s="6" t="str">
        <f aca="false">IF(AND(AND(Ziele!$B$18="Plan bereit",15&lt;=Ziele!$B$5),Ziele!C13&gt;0,E89&gt;=Ziele!C13),15,"")</f>
        <v/>
      </c>
      <c r="M89" s="6" t="str">
        <f aca="false">IF(AND(AND(Ziele!$B$18="Plan bereit",15&lt;=Ziele!$B$5),Ziele!C14&gt;0,F89&gt;=Ziele!C14),15,"")</f>
        <v/>
      </c>
      <c r="N89" s="6" t="str">
        <f aca="false">IF(AND(AND(Ziele!$B$18="Plan bereit",15&lt;=Ziele!$B$5),Ziele!C15&gt;0,G89&gt;=Ziele!C15),15,"")</f>
        <v/>
      </c>
    </row>
    <row r="90" customFormat="false" ht="22.5" hidden="false" customHeight="true" outlineLevel="0" collapsed="false">
      <c r="A90" s="6" t="n">
        <f aca="false">IF(AND(Ziele!$B$18="Plan bereit",16&lt;=Ziele!$B$5),16,"")</f>
        <v>16</v>
      </c>
      <c r="B90" s="7" t="n">
        <f aca="false">IF(AND(Ziele!$B$18="Plan bereit",16&lt;=Ziele!$B$5),ROUND(B89+E22,2),"")</f>
        <v>10000</v>
      </c>
      <c r="C90" s="7" t="n">
        <f aca="false">IF(AND(Ziele!$B$18="Plan bereit",16&lt;=Ziele!$B$5),ROUND(C89+F22,2),"")</f>
        <v>21600</v>
      </c>
      <c r="D90" s="7" t="n">
        <f aca="false">IF(AND(Ziele!$B$18="Plan bereit",16&lt;=Ziele!$B$5),ROUND(D89+G22,2),"")</f>
        <v>0</v>
      </c>
      <c r="E90" s="7" t="n">
        <f aca="false">IF(AND(Ziele!$B$18="Plan bereit",16&lt;=Ziele!$B$5),ROUND(E89+H22,2),"")</f>
        <v>0</v>
      </c>
      <c r="F90" s="7" t="n">
        <f aca="false">IF(AND(Ziele!$B$18="Plan bereit",16&lt;=Ziele!$B$5),ROUND(F89+I22,2),"")</f>
        <v>0</v>
      </c>
      <c r="G90" s="7" t="n">
        <f aca="false">IF(AND(Ziele!$B$18="Plan bereit",16&lt;=Ziele!$B$5),ROUND(G89+J22,2),"")</f>
        <v>0</v>
      </c>
      <c r="H90" s="7" t="n">
        <f aca="false">IF(AND(Ziele!$B$18="Plan bereit",16&lt;=Ziele!$B$5),ROUND(SUM(B90:G90),2),"")</f>
        <v>31600</v>
      </c>
      <c r="I90" s="6" t="n">
        <f aca="false">IF(AND(AND(Ziele!$B$18="Plan bereit",16&lt;=Ziele!$B$5),Ziele!C10&gt;0,B90&gt;=Ziele!C10),16,"")</f>
        <v>16</v>
      </c>
      <c r="J90" s="6" t="str">
        <f aca="false">IF(AND(AND(Ziele!$B$18="Plan bereit",16&lt;=Ziele!$B$5),Ziele!C11&gt;0,C90&gt;=Ziele!C11),16,"")</f>
        <v/>
      </c>
      <c r="K90" s="6" t="str">
        <f aca="false">IF(AND(AND(Ziele!$B$18="Plan bereit",16&lt;=Ziele!$B$5),Ziele!C12&gt;0,D90&gt;=Ziele!C12),16,"")</f>
        <v/>
      </c>
      <c r="L90" s="6" t="str">
        <f aca="false">IF(AND(AND(Ziele!$B$18="Plan bereit",16&lt;=Ziele!$B$5),Ziele!C13&gt;0,E90&gt;=Ziele!C13),16,"")</f>
        <v/>
      </c>
      <c r="M90" s="6" t="str">
        <f aca="false">IF(AND(AND(Ziele!$B$18="Plan bereit",16&lt;=Ziele!$B$5),Ziele!C14&gt;0,F90&gt;=Ziele!C14),16,"")</f>
        <v/>
      </c>
      <c r="N90" s="6" t="str">
        <f aca="false">IF(AND(AND(Ziele!$B$18="Plan bereit",16&lt;=Ziele!$B$5),Ziele!C15&gt;0,G90&gt;=Ziele!C15),16,"")</f>
        <v/>
      </c>
    </row>
    <row r="91" customFormat="false" ht="22.5" hidden="false" customHeight="true" outlineLevel="0" collapsed="false">
      <c r="A91" s="6" t="n">
        <f aca="false">IF(AND(Ziele!$B$18="Plan bereit",17&lt;=Ziele!$B$5),17,"")</f>
        <v>17</v>
      </c>
      <c r="B91" s="7" t="n">
        <f aca="false">IF(AND(Ziele!$B$18="Plan bereit",17&lt;=Ziele!$B$5),ROUND(B90+E23,2),"")</f>
        <v>10000</v>
      </c>
      <c r="C91" s="7" t="n">
        <f aca="false">IF(AND(Ziele!$B$18="Plan bereit",17&lt;=Ziele!$B$5),ROUND(C90+F23,2),"")</f>
        <v>21950</v>
      </c>
      <c r="D91" s="7" t="n">
        <f aca="false">IF(AND(Ziele!$B$18="Plan bereit",17&lt;=Ziele!$B$5),ROUND(D90+G23,2),"")</f>
        <v>0</v>
      </c>
      <c r="E91" s="7" t="n">
        <f aca="false">IF(AND(Ziele!$B$18="Plan bereit",17&lt;=Ziele!$B$5),ROUND(E90+H23,2),"")</f>
        <v>0</v>
      </c>
      <c r="F91" s="7" t="n">
        <f aca="false">IF(AND(Ziele!$B$18="Plan bereit",17&lt;=Ziele!$B$5),ROUND(F90+I23,2),"")</f>
        <v>0</v>
      </c>
      <c r="G91" s="7" t="n">
        <f aca="false">IF(AND(Ziele!$B$18="Plan bereit",17&lt;=Ziele!$B$5),ROUND(G90+J23,2),"")</f>
        <v>0</v>
      </c>
      <c r="H91" s="7" t="n">
        <f aca="false">IF(AND(Ziele!$B$18="Plan bereit",17&lt;=Ziele!$B$5),ROUND(SUM(B91:G91),2),"")</f>
        <v>31950</v>
      </c>
      <c r="I91" s="6" t="n">
        <f aca="false">IF(AND(AND(Ziele!$B$18="Plan bereit",17&lt;=Ziele!$B$5),Ziele!C10&gt;0,B91&gt;=Ziele!C10),17,"")</f>
        <v>17</v>
      </c>
      <c r="J91" s="6" t="str">
        <f aca="false">IF(AND(AND(Ziele!$B$18="Plan bereit",17&lt;=Ziele!$B$5),Ziele!C11&gt;0,C91&gt;=Ziele!C11),17,"")</f>
        <v/>
      </c>
      <c r="K91" s="6" t="str">
        <f aca="false">IF(AND(AND(Ziele!$B$18="Plan bereit",17&lt;=Ziele!$B$5),Ziele!C12&gt;0,D91&gt;=Ziele!C12),17,"")</f>
        <v/>
      </c>
      <c r="L91" s="6" t="str">
        <f aca="false">IF(AND(AND(Ziele!$B$18="Plan bereit",17&lt;=Ziele!$B$5),Ziele!C13&gt;0,E91&gt;=Ziele!C13),17,"")</f>
        <v/>
      </c>
      <c r="M91" s="6" t="str">
        <f aca="false">IF(AND(AND(Ziele!$B$18="Plan bereit",17&lt;=Ziele!$B$5),Ziele!C14&gt;0,F91&gt;=Ziele!C14),17,"")</f>
        <v/>
      </c>
      <c r="N91" s="6" t="str">
        <f aca="false">IF(AND(AND(Ziele!$B$18="Plan bereit",17&lt;=Ziele!$B$5),Ziele!C15&gt;0,G91&gt;=Ziele!C15),17,"")</f>
        <v/>
      </c>
    </row>
    <row r="92" customFormat="false" ht="22.5" hidden="false" customHeight="true" outlineLevel="0" collapsed="false">
      <c r="A92" s="6" t="n">
        <f aca="false">IF(AND(Ziele!$B$18="Plan bereit",18&lt;=Ziele!$B$5),18,"")</f>
        <v>18</v>
      </c>
      <c r="B92" s="7" t="n">
        <f aca="false">IF(AND(Ziele!$B$18="Plan bereit",18&lt;=Ziele!$B$5),ROUND(B91+E24,2),"")</f>
        <v>10000</v>
      </c>
      <c r="C92" s="7" t="n">
        <f aca="false">IF(AND(Ziele!$B$18="Plan bereit",18&lt;=Ziele!$B$5),ROUND(C91+F24,2),"")</f>
        <v>22300</v>
      </c>
      <c r="D92" s="7" t="n">
        <f aca="false">IF(AND(Ziele!$B$18="Plan bereit",18&lt;=Ziele!$B$5),ROUND(D91+G24,2),"")</f>
        <v>0</v>
      </c>
      <c r="E92" s="7" t="n">
        <f aca="false">IF(AND(Ziele!$B$18="Plan bereit",18&lt;=Ziele!$B$5),ROUND(E91+H24,2),"")</f>
        <v>0</v>
      </c>
      <c r="F92" s="7" t="n">
        <f aca="false">IF(AND(Ziele!$B$18="Plan bereit",18&lt;=Ziele!$B$5),ROUND(F91+I24,2),"")</f>
        <v>0</v>
      </c>
      <c r="G92" s="7" t="n">
        <f aca="false">IF(AND(Ziele!$B$18="Plan bereit",18&lt;=Ziele!$B$5),ROUND(G91+J24,2),"")</f>
        <v>0</v>
      </c>
      <c r="H92" s="7" t="n">
        <f aca="false">IF(AND(Ziele!$B$18="Plan bereit",18&lt;=Ziele!$B$5),ROUND(SUM(B92:G92),2),"")</f>
        <v>32300</v>
      </c>
      <c r="I92" s="6" t="n">
        <f aca="false">IF(AND(AND(Ziele!$B$18="Plan bereit",18&lt;=Ziele!$B$5),Ziele!C10&gt;0,B92&gt;=Ziele!C10),18,"")</f>
        <v>18</v>
      </c>
      <c r="J92" s="6" t="str">
        <f aca="false">IF(AND(AND(Ziele!$B$18="Plan bereit",18&lt;=Ziele!$B$5),Ziele!C11&gt;0,C92&gt;=Ziele!C11),18,"")</f>
        <v/>
      </c>
      <c r="K92" s="6" t="str">
        <f aca="false">IF(AND(AND(Ziele!$B$18="Plan bereit",18&lt;=Ziele!$B$5),Ziele!C12&gt;0,D92&gt;=Ziele!C12),18,"")</f>
        <v/>
      </c>
      <c r="L92" s="6" t="str">
        <f aca="false">IF(AND(AND(Ziele!$B$18="Plan bereit",18&lt;=Ziele!$B$5),Ziele!C13&gt;0,E92&gt;=Ziele!C13),18,"")</f>
        <v/>
      </c>
      <c r="M92" s="6" t="str">
        <f aca="false">IF(AND(AND(Ziele!$B$18="Plan bereit",18&lt;=Ziele!$B$5),Ziele!C14&gt;0,F92&gt;=Ziele!C14),18,"")</f>
        <v/>
      </c>
      <c r="N92" s="6" t="str">
        <f aca="false">IF(AND(AND(Ziele!$B$18="Plan bereit",18&lt;=Ziele!$B$5),Ziele!C15&gt;0,G92&gt;=Ziele!C15),18,"")</f>
        <v/>
      </c>
    </row>
    <row r="93" customFormat="false" ht="22.5" hidden="false" customHeight="true" outlineLevel="0" collapsed="false">
      <c r="A93" s="6" t="n">
        <f aca="false">IF(AND(Ziele!$B$18="Plan bereit",19&lt;=Ziele!$B$5),19,"")</f>
        <v>19</v>
      </c>
      <c r="B93" s="7" t="n">
        <f aca="false">IF(AND(Ziele!$B$18="Plan bereit",19&lt;=Ziele!$B$5),ROUND(B92+E25,2),"")</f>
        <v>10000</v>
      </c>
      <c r="C93" s="7" t="n">
        <f aca="false">IF(AND(Ziele!$B$18="Plan bereit",19&lt;=Ziele!$B$5),ROUND(C92+F25,2),"")</f>
        <v>22650</v>
      </c>
      <c r="D93" s="7" t="n">
        <f aca="false">IF(AND(Ziele!$B$18="Plan bereit",19&lt;=Ziele!$B$5),ROUND(D92+G25,2),"")</f>
        <v>0</v>
      </c>
      <c r="E93" s="7" t="n">
        <f aca="false">IF(AND(Ziele!$B$18="Plan bereit",19&lt;=Ziele!$B$5),ROUND(E92+H25,2),"")</f>
        <v>0</v>
      </c>
      <c r="F93" s="7" t="n">
        <f aca="false">IF(AND(Ziele!$B$18="Plan bereit",19&lt;=Ziele!$B$5),ROUND(F92+I25,2),"")</f>
        <v>0</v>
      </c>
      <c r="G93" s="7" t="n">
        <f aca="false">IF(AND(Ziele!$B$18="Plan bereit",19&lt;=Ziele!$B$5),ROUND(G92+J25,2),"")</f>
        <v>0</v>
      </c>
      <c r="H93" s="7" t="n">
        <f aca="false">IF(AND(Ziele!$B$18="Plan bereit",19&lt;=Ziele!$B$5),ROUND(SUM(B93:G93),2),"")</f>
        <v>32650</v>
      </c>
      <c r="I93" s="6" t="n">
        <f aca="false">IF(AND(AND(Ziele!$B$18="Plan bereit",19&lt;=Ziele!$B$5),Ziele!C10&gt;0,B93&gt;=Ziele!C10),19,"")</f>
        <v>19</v>
      </c>
      <c r="J93" s="6" t="str">
        <f aca="false">IF(AND(AND(Ziele!$B$18="Plan bereit",19&lt;=Ziele!$B$5),Ziele!C11&gt;0,C93&gt;=Ziele!C11),19,"")</f>
        <v/>
      </c>
      <c r="K93" s="6" t="str">
        <f aca="false">IF(AND(AND(Ziele!$B$18="Plan bereit",19&lt;=Ziele!$B$5),Ziele!C12&gt;0,D93&gt;=Ziele!C12),19,"")</f>
        <v/>
      </c>
      <c r="L93" s="6" t="str">
        <f aca="false">IF(AND(AND(Ziele!$B$18="Plan bereit",19&lt;=Ziele!$B$5),Ziele!C13&gt;0,E93&gt;=Ziele!C13),19,"")</f>
        <v/>
      </c>
      <c r="M93" s="6" t="str">
        <f aca="false">IF(AND(AND(Ziele!$B$18="Plan bereit",19&lt;=Ziele!$B$5),Ziele!C14&gt;0,F93&gt;=Ziele!C14),19,"")</f>
        <v/>
      </c>
      <c r="N93" s="6" t="str">
        <f aca="false">IF(AND(AND(Ziele!$B$18="Plan bereit",19&lt;=Ziele!$B$5),Ziele!C15&gt;0,G93&gt;=Ziele!C15),19,"")</f>
        <v/>
      </c>
    </row>
    <row r="94" customFormat="false" ht="22.5" hidden="false" customHeight="true" outlineLevel="0" collapsed="false">
      <c r="A94" s="6" t="n">
        <f aca="false">IF(AND(Ziele!$B$18="Plan bereit",20&lt;=Ziele!$B$5),20,"")</f>
        <v>20</v>
      </c>
      <c r="B94" s="7" t="n">
        <f aca="false">IF(AND(Ziele!$B$18="Plan bereit",20&lt;=Ziele!$B$5),ROUND(B93+E26,2),"")</f>
        <v>10000</v>
      </c>
      <c r="C94" s="7" t="n">
        <f aca="false">IF(AND(Ziele!$B$18="Plan bereit",20&lt;=Ziele!$B$5),ROUND(C93+F26,2),"")</f>
        <v>23000</v>
      </c>
      <c r="D94" s="7" t="n">
        <f aca="false">IF(AND(Ziele!$B$18="Plan bereit",20&lt;=Ziele!$B$5),ROUND(D93+G26,2),"")</f>
        <v>0</v>
      </c>
      <c r="E94" s="7" t="n">
        <f aca="false">IF(AND(Ziele!$B$18="Plan bereit",20&lt;=Ziele!$B$5),ROUND(E93+H26,2),"")</f>
        <v>0</v>
      </c>
      <c r="F94" s="7" t="n">
        <f aca="false">IF(AND(Ziele!$B$18="Plan bereit",20&lt;=Ziele!$B$5),ROUND(F93+I26,2),"")</f>
        <v>0</v>
      </c>
      <c r="G94" s="7" t="n">
        <f aca="false">IF(AND(Ziele!$B$18="Plan bereit",20&lt;=Ziele!$B$5),ROUND(G93+J26,2),"")</f>
        <v>0</v>
      </c>
      <c r="H94" s="7" t="n">
        <f aca="false">IF(AND(Ziele!$B$18="Plan bereit",20&lt;=Ziele!$B$5),ROUND(SUM(B94:G94),2),"")</f>
        <v>33000</v>
      </c>
      <c r="I94" s="6" t="n">
        <f aca="false">IF(AND(AND(Ziele!$B$18="Plan bereit",20&lt;=Ziele!$B$5),Ziele!C10&gt;0,B94&gt;=Ziele!C10),20,"")</f>
        <v>20</v>
      </c>
      <c r="J94" s="6" t="str">
        <f aca="false">IF(AND(AND(Ziele!$B$18="Plan bereit",20&lt;=Ziele!$B$5),Ziele!C11&gt;0,C94&gt;=Ziele!C11),20,"")</f>
        <v/>
      </c>
      <c r="K94" s="6" t="str">
        <f aca="false">IF(AND(AND(Ziele!$B$18="Plan bereit",20&lt;=Ziele!$B$5),Ziele!C12&gt;0,D94&gt;=Ziele!C12),20,"")</f>
        <v/>
      </c>
      <c r="L94" s="6" t="str">
        <f aca="false">IF(AND(AND(Ziele!$B$18="Plan bereit",20&lt;=Ziele!$B$5),Ziele!C13&gt;0,E94&gt;=Ziele!C13),20,"")</f>
        <v/>
      </c>
      <c r="M94" s="6" t="str">
        <f aca="false">IF(AND(AND(Ziele!$B$18="Plan bereit",20&lt;=Ziele!$B$5),Ziele!C14&gt;0,F94&gt;=Ziele!C14),20,"")</f>
        <v/>
      </c>
      <c r="N94" s="6" t="str">
        <f aca="false">IF(AND(AND(Ziele!$B$18="Plan bereit",20&lt;=Ziele!$B$5),Ziele!C15&gt;0,G94&gt;=Ziele!C15),20,"")</f>
        <v/>
      </c>
    </row>
    <row r="95" customFormat="false" ht="22.5" hidden="false" customHeight="true" outlineLevel="0" collapsed="false">
      <c r="A95" s="6" t="n">
        <f aca="false">IF(AND(Ziele!$B$18="Plan bereit",21&lt;=Ziele!$B$5),21,"")</f>
        <v>21</v>
      </c>
      <c r="B95" s="7" t="n">
        <f aca="false">IF(AND(Ziele!$B$18="Plan bereit",21&lt;=Ziele!$B$5),ROUND(B94+E27,2),"")</f>
        <v>10000</v>
      </c>
      <c r="C95" s="7" t="n">
        <f aca="false">IF(AND(Ziele!$B$18="Plan bereit",21&lt;=Ziele!$B$5),ROUND(C94+F27,2),"")</f>
        <v>23350</v>
      </c>
      <c r="D95" s="7" t="n">
        <f aca="false">IF(AND(Ziele!$B$18="Plan bereit",21&lt;=Ziele!$B$5),ROUND(D94+G27,2),"")</f>
        <v>0</v>
      </c>
      <c r="E95" s="7" t="n">
        <f aca="false">IF(AND(Ziele!$B$18="Plan bereit",21&lt;=Ziele!$B$5),ROUND(E94+H27,2),"")</f>
        <v>0</v>
      </c>
      <c r="F95" s="7" t="n">
        <f aca="false">IF(AND(Ziele!$B$18="Plan bereit",21&lt;=Ziele!$B$5),ROUND(F94+I27,2),"")</f>
        <v>0</v>
      </c>
      <c r="G95" s="7" t="n">
        <f aca="false">IF(AND(Ziele!$B$18="Plan bereit",21&lt;=Ziele!$B$5),ROUND(G94+J27,2),"")</f>
        <v>0</v>
      </c>
      <c r="H95" s="7" t="n">
        <f aca="false">IF(AND(Ziele!$B$18="Plan bereit",21&lt;=Ziele!$B$5),ROUND(SUM(B95:G95),2),"")</f>
        <v>33350</v>
      </c>
      <c r="I95" s="6" t="n">
        <f aca="false">IF(AND(AND(Ziele!$B$18="Plan bereit",21&lt;=Ziele!$B$5),Ziele!C10&gt;0,B95&gt;=Ziele!C10),21,"")</f>
        <v>21</v>
      </c>
      <c r="J95" s="6" t="str">
        <f aca="false">IF(AND(AND(Ziele!$B$18="Plan bereit",21&lt;=Ziele!$B$5),Ziele!C11&gt;0,C95&gt;=Ziele!C11),21,"")</f>
        <v/>
      </c>
      <c r="K95" s="6" t="str">
        <f aca="false">IF(AND(AND(Ziele!$B$18="Plan bereit",21&lt;=Ziele!$B$5),Ziele!C12&gt;0,D95&gt;=Ziele!C12),21,"")</f>
        <v/>
      </c>
      <c r="L95" s="6" t="str">
        <f aca="false">IF(AND(AND(Ziele!$B$18="Plan bereit",21&lt;=Ziele!$B$5),Ziele!C13&gt;0,E95&gt;=Ziele!C13),21,"")</f>
        <v/>
      </c>
      <c r="M95" s="6" t="str">
        <f aca="false">IF(AND(AND(Ziele!$B$18="Plan bereit",21&lt;=Ziele!$B$5),Ziele!C14&gt;0,F95&gt;=Ziele!C14),21,"")</f>
        <v/>
      </c>
      <c r="N95" s="6" t="str">
        <f aca="false">IF(AND(AND(Ziele!$B$18="Plan bereit",21&lt;=Ziele!$B$5),Ziele!C15&gt;0,G95&gt;=Ziele!C15),21,"")</f>
        <v/>
      </c>
    </row>
    <row r="96" customFormat="false" ht="22.5" hidden="false" customHeight="true" outlineLevel="0" collapsed="false">
      <c r="A96" s="6" t="n">
        <f aca="false">IF(AND(Ziele!$B$18="Plan bereit",22&lt;=Ziele!$B$5),22,"")</f>
        <v>22</v>
      </c>
      <c r="B96" s="7" t="n">
        <f aca="false">IF(AND(Ziele!$B$18="Plan bereit",22&lt;=Ziele!$B$5),ROUND(B95+E28,2),"")</f>
        <v>10000</v>
      </c>
      <c r="C96" s="7" t="n">
        <f aca="false">IF(AND(Ziele!$B$18="Plan bereit",22&lt;=Ziele!$B$5),ROUND(C95+F28,2),"")</f>
        <v>23700</v>
      </c>
      <c r="D96" s="7" t="n">
        <f aca="false">IF(AND(Ziele!$B$18="Plan bereit",22&lt;=Ziele!$B$5),ROUND(D95+G28,2),"")</f>
        <v>0</v>
      </c>
      <c r="E96" s="7" t="n">
        <f aca="false">IF(AND(Ziele!$B$18="Plan bereit",22&lt;=Ziele!$B$5),ROUND(E95+H28,2),"")</f>
        <v>0</v>
      </c>
      <c r="F96" s="7" t="n">
        <f aca="false">IF(AND(Ziele!$B$18="Plan bereit",22&lt;=Ziele!$B$5),ROUND(F95+I28,2),"")</f>
        <v>0</v>
      </c>
      <c r="G96" s="7" t="n">
        <f aca="false">IF(AND(Ziele!$B$18="Plan bereit",22&lt;=Ziele!$B$5),ROUND(G95+J28,2),"")</f>
        <v>0</v>
      </c>
      <c r="H96" s="7" t="n">
        <f aca="false">IF(AND(Ziele!$B$18="Plan bereit",22&lt;=Ziele!$B$5),ROUND(SUM(B96:G96),2),"")</f>
        <v>33700</v>
      </c>
      <c r="I96" s="6" t="n">
        <f aca="false">IF(AND(AND(Ziele!$B$18="Plan bereit",22&lt;=Ziele!$B$5),Ziele!C10&gt;0,B96&gt;=Ziele!C10),22,"")</f>
        <v>22</v>
      </c>
      <c r="J96" s="6" t="str">
        <f aca="false">IF(AND(AND(Ziele!$B$18="Plan bereit",22&lt;=Ziele!$B$5),Ziele!C11&gt;0,C96&gt;=Ziele!C11),22,"")</f>
        <v/>
      </c>
      <c r="K96" s="6" t="str">
        <f aca="false">IF(AND(AND(Ziele!$B$18="Plan bereit",22&lt;=Ziele!$B$5),Ziele!C12&gt;0,D96&gt;=Ziele!C12),22,"")</f>
        <v/>
      </c>
      <c r="L96" s="6" t="str">
        <f aca="false">IF(AND(AND(Ziele!$B$18="Plan bereit",22&lt;=Ziele!$B$5),Ziele!C13&gt;0,E96&gt;=Ziele!C13),22,"")</f>
        <v/>
      </c>
      <c r="M96" s="6" t="str">
        <f aca="false">IF(AND(AND(Ziele!$B$18="Plan bereit",22&lt;=Ziele!$B$5),Ziele!C14&gt;0,F96&gt;=Ziele!C14),22,"")</f>
        <v/>
      </c>
      <c r="N96" s="6" t="str">
        <f aca="false">IF(AND(AND(Ziele!$B$18="Plan bereit",22&lt;=Ziele!$B$5),Ziele!C15&gt;0,G96&gt;=Ziele!C15),22,"")</f>
        <v/>
      </c>
    </row>
    <row r="97" customFormat="false" ht="22.5" hidden="false" customHeight="true" outlineLevel="0" collapsed="false">
      <c r="A97" s="6" t="n">
        <f aca="false">IF(AND(Ziele!$B$18="Plan bereit",23&lt;=Ziele!$B$5),23,"")</f>
        <v>23</v>
      </c>
      <c r="B97" s="7" t="n">
        <f aca="false">IF(AND(Ziele!$B$18="Plan bereit",23&lt;=Ziele!$B$5),ROUND(B96+E29,2),"")</f>
        <v>10000</v>
      </c>
      <c r="C97" s="7" t="n">
        <f aca="false">IF(AND(Ziele!$B$18="Plan bereit",23&lt;=Ziele!$B$5),ROUND(C96+F29,2),"")</f>
        <v>24050</v>
      </c>
      <c r="D97" s="7" t="n">
        <f aca="false">IF(AND(Ziele!$B$18="Plan bereit",23&lt;=Ziele!$B$5),ROUND(D96+G29,2),"")</f>
        <v>0</v>
      </c>
      <c r="E97" s="7" t="n">
        <f aca="false">IF(AND(Ziele!$B$18="Plan bereit",23&lt;=Ziele!$B$5),ROUND(E96+H29,2),"")</f>
        <v>0</v>
      </c>
      <c r="F97" s="7" t="n">
        <f aca="false">IF(AND(Ziele!$B$18="Plan bereit",23&lt;=Ziele!$B$5),ROUND(F96+I29,2),"")</f>
        <v>0</v>
      </c>
      <c r="G97" s="7" t="n">
        <f aca="false">IF(AND(Ziele!$B$18="Plan bereit",23&lt;=Ziele!$B$5),ROUND(G96+J29,2),"")</f>
        <v>0</v>
      </c>
      <c r="H97" s="7" t="n">
        <f aca="false">IF(AND(Ziele!$B$18="Plan bereit",23&lt;=Ziele!$B$5),ROUND(SUM(B97:G97),2),"")</f>
        <v>34050</v>
      </c>
      <c r="I97" s="6" t="n">
        <f aca="false">IF(AND(AND(Ziele!$B$18="Plan bereit",23&lt;=Ziele!$B$5),Ziele!C10&gt;0,B97&gt;=Ziele!C10),23,"")</f>
        <v>23</v>
      </c>
      <c r="J97" s="6" t="str">
        <f aca="false">IF(AND(AND(Ziele!$B$18="Plan bereit",23&lt;=Ziele!$B$5),Ziele!C11&gt;0,C97&gt;=Ziele!C11),23,"")</f>
        <v/>
      </c>
      <c r="K97" s="6" t="str">
        <f aca="false">IF(AND(AND(Ziele!$B$18="Plan bereit",23&lt;=Ziele!$B$5),Ziele!C12&gt;0,D97&gt;=Ziele!C12),23,"")</f>
        <v/>
      </c>
      <c r="L97" s="6" t="str">
        <f aca="false">IF(AND(AND(Ziele!$B$18="Plan bereit",23&lt;=Ziele!$B$5),Ziele!C13&gt;0,E97&gt;=Ziele!C13),23,"")</f>
        <v/>
      </c>
      <c r="M97" s="6" t="str">
        <f aca="false">IF(AND(AND(Ziele!$B$18="Plan bereit",23&lt;=Ziele!$B$5),Ziele!C14&gt;0,F97&gt;=Ziele!C14),23,"")</f>
        <v/>
      </c>
      <c r="N97" s="6" t="str">
        <f aca="false">IF(AND(AND(Ziele!$B$18="Plan bereit",23&lt;=Ziele!$B$5),Ziele!C15&gt;0,G97&gt;=Ziele!C15),23,"")</f>
        <v/>
      </c>
    </row>
    <row r="98" customFormat="false" ht="22.5" hidden="false" customHeight="true" outlineLevel="0" collapsed="false">
      <c r="A98" s="6" t="n">
        <f aca="false">IF(AND(Ziele!$B$18="Plan bereit",24&lt;=Ziele!$B$5),24,"")</f>
        <v>24</v>
      </c>
      <c r="B98" s="7" t="n">
        <f aca="false">IF(AND(Ziele!$B$18="Plan bereit",24&lt;=Ziele!$B$5),ROUND(B97+E30,2),"")</f>
        <v>10000</v>
      </c>
      <c r="C98" s="7" t="n">
        <f aca="false">IF(AND(Ziele!$B$18="Plan bereit",24&lt;=Ziele!$B$5),ROUND(C97+F30,2),"")</f>
        <v>24400</v>
      </c>
      <c r="D98" s="7" t="n">
        <f aca="false">IF(AND(Ziele!$B$18="Plan bereit",24&lt;=Ziele!$B$5),ROUND(D97+G30,2),"")</f>
        <v>0</v>
      </c>
      <c r="E98" s="7" t="n">
        <f aca="false">IF(AND(Ziele!$B$18="Plan bereit",24&lt;=Ziele!$B$5),ROUND(E97+H30,2),"")</f>
        <v>0</v>
      </c>
      <c r="F98" s="7" t="n">
        <f aca="false">IF(AND(Ziele!$B$18="Plan bereit",24&lt;=Ziele!$B$5),ROUND(F97+I30,2),"")</f>
        <v>0</v>
      </c>
      <c r="G98" s="7" t="n">
        <f aca="false">IF(AND(Ziele!$B$18="Plan bereit",24&lt;=Ziele!$B$5),ROUND(G97+J30,2),"")</f>
        <v>0</v>
      </c>
      <c r="H98" s="7" t="n">
        <f aca="false">IF(AND(Ziele!$B$18="Plan bereit",24&lt;=Ziele!$B$5),ROUND(SUM(B98:G98),2),"")</f>
        <v>34400</v>
      </c>
      <c r="I98" s="6" t="n">
        <f aca="false">IF(AND(AND(Ziele!$B$18="Plan bereit",24&lt;=Ziele!$B$5),Ziele!C10&gt;0,B98&gt;=Ziele!C10),24,"")</f>
        <v>24</v>
      </c>
      <c r="J98" s="6" t="str">
        <f aca="false">IF(AND(AND(Ziele!$B$18="Plan bereit",24&lt;=Ziele!$B$5),Ziele!C11&gt;0,C98&gt;=Ziele!C11),24,"")</f>
        <v/>
      </c>
      <c r="K98" s="6" t="str">
        <f aca="false">IF(AND(AND(Ziele!$B$18="Plan bereit",24&lt;=Ziele!$B$5),Ziele!C12&gt;0,D98&gt;=Ziele!C12),24,"")</f>
        <v/>
      </c>
      <c r="L98" s="6" t="str">
        <f aca="false">IF(AND(AND(Ziele!$B$18="Plan bereit",24&lt;=Ziele!$B$5),Ziele!C13&gt;0,E98&gt;=Ziele!C13),24,"")</f>
        <v/>
      </c>
      <c r="M98" s="6" t="str">
        <f aca="false">IF(AND(AND(Ziele!$B$18="Plan bereit",24&lt;=Ziele!$B$5),Ziele!C14&gt;0,F98&gt;=Ziele!C14),24,"")</f>
        <v/>
      </c>
      <c r="N98" s="6" t="str">
        <f aca="false">IF(AND(AND(Ziele!$B$18="Plan bereit",24&lt;=Ziele!$B$5),Ziele!C15&gt;0,G98&gt;=Ziele!C15),24,"")</f>
        <v/>
      </c>
    </row>
    <row r="99" customFormat="false" ht="22.5" hidden="false" customHeight="true" outlineLevel="0" collapsed="false">
      <c r="A99" s="6" t="n">
        <f aca="false">IF(AND(Ziele!$B$18="Plan bereit",25&lt;=Ziele!$B$5),25,"")</f>
        <v>25</v>
      </c>
      <c r="B99" s="7" t="n">
        <f aca="false">IF(AND(Ziele!$B$18="Plan bereit",25&lt;=Ziele!$B$5),ROUND(B98+E31,2),"")</f>
        <v>10000</v>
      </c>
      <c r="C99" s="7" t="n">
        <f aca="false">IF(AND(Ziele!$B$18="Plan bereit",25&lt;=Ziele!$B$5),ROUND(C98+F31,2),"")</f>
        <v>24750</v>
      </c>
      <c r="D99" s="7" t="n">
        <f aca="false">IF(AND(Ziele!$B$18="Plan bereit",25&lt;=Ziele!$B$5),ROUND(D98+G31,2),"")</f>
        <v>0</v>
      </c>
      <c r="E99" s="7" t="n">
        <f aca="false">IF(AND(Ziele!$B$18="Plan bereit",25&lt;=Ziele!$B$5),ROUND(E98+H31,2),"")</f>
        <v>0</v>
      </c>
      <c r="F99" s="7" t="n">
        <f aca="false">IF(AND(Ziele!$B$18="Plan bereit",25&lt;=Ziele!$B$5),ROUND(F98+I31,2),"")</f>
        <v>0</v>
      </c>
      <c r="G99" s="7" t="n">
        <f aca="false">IF(AND(Ziele!$B$18="Plan bereit",25&lt;=Ziele!$B$5),ROUND(G98+J31,2),"")</f>
        <v>0</v>
      </c>
      <c r="H99" s="7" t="n">
        <f aca="false">IF(AND(Ziele!$B$18="Plan bereit",25&lt;=Ziele!$B$5),ROUND(SUM(B99:G99),2),"")</f>
        <v>34750</v>
      </c>
      <c r="I99" s="6" t="n">
        <f aca="false">IF(AND(AND(Ziele!$B$18="Plan bereit",25&lt;=Ziele!$B$5),Ziele!C10&gt;0,B99&gt;=Ziele!C10),25,"")</f>
        <v>25</v>
      </c>
      <c r="J99" s="6" t="str">
        <f aca="false">IF(AND(AND(Ziele!$B$18="Plan bereit",25&lt;=Ziele!$B$5),Ziele!C11&gt;0,C99&gt;=Ziele!C11),25,"")</f>
        <v/>
      </c>
      <c r="K99" s="6" t="str">
        <f aca="false">IF(AND(AND(Ziele!$B$18="Plan bereit",25&lt;=Ziele!$B$5),Ziele!C12&gt;0,D99&gt;=Ziele!C12),25,"")</f>
        <v/>
      </c>
      <c r="L99" s="6" t="str">
        <f aca="false">IF(AND(AND(Ziele!$B$18="Plan bereit",25&lt;=Ziele!$B$5),Ziele!C13&gt;0,E99&gt;=Ziele!C13),25,"")</f>
        <v/>
      </c>
      <c r="M99" s="6" t="str">
        <f aca="false">IF(AND(AND(Ziele!$B$18="Plan bereit",25&lt;=Ziele!$B$5),Ziele!C14&gt;0,F99&gt;=Ziele!C14),25,"")</f>
        <v/>
      </c>
      <c r="N99" s="6" t="str">
        <f aca="false">IF(AND(AND(Ziele!$B$18="Plan bereit",25&lt;=Ziele!$B$5),Ziele!C15&gt;0,G99&gt;=Ziele!C15),25,"")</f>
        <v/>
      </c>
    </row>
    <row r="100" customFormat="false" ht="22.5" hidden="false" customHeight="true" outlineLevel="0" collapsed="false">
      <c r="A100" s="6" t="n">
        <f aca="false">IF(AND(Ziele!$B$18="Plan bereit",26&lt;=Ziele!$B$5),26,"")</f>
        <v>26</v>
      </c>
      <c r="B100" s="7" t="n">
        <f aca="false">IF(AND(Ziele!$B$18="Plan bereit",26&lt;=Ziele!$B$5),ROUND(B99+E32,2),"")</f>
        <v>10000</v>
      </c>
      <c r="C100" s="7" t="n">
        <f aca="false">IF(AND(Ziele!$B$18="Plan bereit",26&lt;=Ziele!$B$5),ROUND(C99+F32,2),"")</f>
        <v>25100</v>
      </c>
      <c r="D100" s="7" t="n">
        <f aca="false">IF(AND(Ziele!$B$18="Plan bereit",26&lt;=Ziele!$B$5),ROUND(D99+G32,2),"")</f>
        <v>0</v>
      </c>
      <c r="E100" s="7" t="n">
        <f aca="false">IF(AND(Ziele!$B$18="Plan bereit",26&lt;=Ziele!$B$5),ROUND(E99+H32,2),"")</f>
        <v>0</v>
      </c>
      <c r="F100" s="7" t="n">
        <f aca="false">IF(AND(Ziele!$B$18="Plan bereit",26&lt;=Ziele!$B$5),ROUND(F99+I32,2),"")</f>
        <v>0</v>
      </c>
      <c r="G100" s="7" t="n">
        <f aca="false">IF(AND(Ziele!$B$18="Plan bereit",26&lt;=Ziele!$B$5),ROUND(G99+J32,2),"")</f>
        <v>0</v>
      </c>
      <c r="H100" s="7" t="n">
        <f aca="false">IF(AND(Ziele!$B$18="Plan bereit",26&lt;=Ziele!$B$5),ROUND(SUM(B100:G100),2),"")</f>
        <v>35100</v>
      </c>
      <c r="I100" s="6" t="n">
        <f aca="false">IF(AND(AND(Ziele!$B$18="Plan bereit",26&lt;=Ziele!$B$5),Ziele!C10&gt;0,B100&gt;=Ziele!C10),26,"")</f>
        <v>26</v>
      </c>
      <c r="J100" s="6" t="str">
        <f aca="false">IF(AND(AND(Ziele!$B$18="Plan bereit",26&lt;=Ziele!$B$5),Ziele!C11&gt;0,C100&gt;=Ziele!C11),26,"")</f>
        <v/>
      </c>
      <c r="K100" s="6" t="str">
        <f aca="false">IF(AND(AND(Ziele!$B$18="Plan bereit",26&lt;=Ziele!$B$5),Ziele!C12&gt;0,D100&gt;=Ziele!C12),26,"")</f>
        <v/>
      </c>
      <c r="L100" s="6" t="str">
        <f aca="false">IF(AND(AND(Ziele!$B$18="Plan bereit",26&lt;=Ziele!$B$5),Ziele!C13&gt;0,E100&gt;=Ziele!C13),26,"")</f>
        <v/>
      </c>
      <c r="M100" s="6" t="str">
        <f aca="false">IF(AND(AND(Ziele!$B$18="Plan bereit",26&lt;=Ziele!$B$5),Ziele!C14&gt;0,F100&gt;=Ziele!C14),26,"")</f>
        <v/>
      </c>
      <c r="N100" s="6" t="str">
        <f aca="false">IF(AND(AND(Ziele!$B$18="Plan bereit",26&lt;=Ziele!$B$5),Ziele!C15&gt;0,G100&gt;=Ziele!C15),26,"")</f>
        <v/>
      </c>
    </row>
    <row r="101" customFormat="false" ht="22.5" hidden="false" customHeight="true" outlineLevel="0" collapsed="false">
      <c r="A101" s="6" t="n">
        <f aca="false">IF(AND(Ziele!$B$18="Plan bereit",27&lt;=Ziele!$B$5),27,"")</f>
        <v>27</v>
      </c>
      <c r="B101" s="7" t="n">
        <f aca="false">IF(AND(Ziele!$B$18="Plan bereit",27&lt;=Ziele!$B$5),ROUND(B100+E33,2),"")</f>
        <v>10000</v>
      </c>
      <c r="C101" s="7" t="n">
        <f aca="false">IF(AND(Ziele!$B$18="Plan bereit",27&lt;=Ziele!$B$5),ROUND(C100+F33,2),"")</f>
        <v>25450</v>
      </c>
      <c r="D101" s="7" t="n">
        <f aca="false">IF(AND(Ziele!$B$18="Plan bereit",27&lt;=Ziele!$B$5),ROUND(D100+G33,2),"")</f>
        <v>0</v>
      </c>
      <c r="E101" s="7" t="n">
        <f aca="false">IF(AND(Ziele!$B$18="Plan bereit",27&lt;=Ziele!$B$5),ROUND(E100+H33,2),"")</f>
        <v>0</v>
      </c>
      <c r="F101" s="7" t="n">
        <f aca="false">IF(AND(Ziele!$B$18="Plan bereit",27&lt;=Ziele!$B$5),ROUND(F100+I33,2),"")</f>
        <v>0</v>
      </c>
      <c r="G101" s="7" t="n">
        <f aca="false">IF(AND(Ziele!$B$18="Plan bereit",27&lt;=Ziele!$B$5),ROUND(G100+J33,2),"")</f>
        <v>0</v>
      </c>
      <c r="H101" s="7" t="n">
        <f aca="false">IF(AND(Ziele!$B$18="Plan bereit",27&lt;=Ziele!$B$5),ROUND(SUM(B101:G101),2),"")</f>
        <v>35450</v>
      </c>
      <c r="I101" s="6" t="n">
        <f aca="false">IF(AND(AND(Ziele!$B$18="Plan bereit",27&lt;=Ziele!$B$5),Ziele!C10&gt;0,B101&gt;=Ziele!C10),27,"")</f>
        <v>27</v>
      </c>
      <c r="J101" s="6" t="str">
        <f aca="false">IF(AND(AND(Ziele!$B$18="Plan bereit",27&lt;=Ziele!$B$5),Ziele!C11&gt;0,C101&gt;=Ziele!C11),27,"")</f>
        <v/>
      </c>
      <c r="K101" s="6" t="str">
        <f aca="false">IF(AND(AND(Ziele!$B$18="Plan bereit",27&lt;=Ziele!$B$5),Ziele!C12&gt;0,D101&gt;=Ziele!C12),27,"")</f>
        <v/>
      </c>
      <c r="L101" s="6" t="str">
        <f aca="false">IF(AND(AND(Ziele!$B$18="Plan bereit",27&lt;=Ziele!$B$5),Ziele!C13&gt;0,E101&gt;=Ziele!C13),27,"")</f>
        <v/>
      </c>
      <c r="M101" s="6" t="str">
        <f aca="false">IF(AND(AND(Ziele!$B$18="Plan bereit",27&lt;=Ziele!$B$5),Ziele!C14&gt;0,F101&gt;=Ziele!C14),27,"")</f>
        <v/>
      </c>
      <c r="N101" s="6" t="str">
        <f aca="false">IF(AND(AND(Ziele!$B$18="Plan bereit",27&lt;=Ziele!$B$5),Ziele!C15&gt;0,G101&gt;=Ziele!C15),27,"")</f>
        <v/>
      </c>
    </row>
    <row r="102" customFormat="false" ht="22.5" hidden="false" customHeight="true" outlineLevel="0" collapsed="false">
      <c r="A102" s="6" t="n">
        <f aca="false">IF(AND(Ziele!$B$18="Plan bereit",28&lt;=Ziele!$B$5),28,"")</f>
        <v>28</v>
      </c>
      <c r="B102" s="7" t="n">
        <f aca="false">IF(AND(Ziele!$B$18="Plan bereit",28&lt;=Ziele!$B$5),ROUND(B101+E34,2),"")</f>
        <v>10000</v>
      </c>
      <c r="C102" s="7" t="n">
        <f aca="false">IF(AND(Ziele!$B$18="Plan bereit",28&lt;=Ziele!$B$5),ROUND(C101+F34,2),"")</f>
        <v>25800</v>
      </c>
      <c r="D102" s="7" t="n">
        <f aca="false">IF(AND(Ziele!$B$18="Plan bereit",28&lt;=Ziele!$B$5),ROUND(D101+G34,2),"")</f>
        <v>0</v>
      </c>
      <c r="E102" s="7" t="n">
        <f aca="false">IF(AND(Ziele!$B$18="Plan bereit",28&lt;=Ziele!$B$5),ROUND(E101+H34,2),"")</f>
        <v>0</v>
      </c>
      <c r="F102" s="7" t="n">
        <f aca="false">IF(AND(Ziele!$B$18="Plan bereit",28&lt;=Ziele!$B$5),ROUND(F101+I34,2),"")</f>
        <v>0</v>
      </c>
      <c r="G102" s="7" t="n">
        <f aca="false">IF(AND(Ziele!$B$18="Plan bereit",28&lt;=Ziele!$B$5),ROUND(G101+J34,2),"")</f>
        <v>0</v>
      </c>
      <c r="H102" s="7" t="n">
        <f aca="false">IF(AND(Ziele!$B$18="Plan bereit",28&lt;=Ziele!$B$5),ROUND(SUM(B102:G102),2),"")</f>
        <v>35800</v>
      </c>
      <c r="I102" s="6" t="n">
        <f aca="false">IF(AND(AND(Ziele!$B$18="Plan bereit",28&lt;=Ziele!$B$5),Ziele!C10&gt;0,B102&gt;=Ziele!C10),28,"")</f>
        <v>28</v>
      </c>
      <c r="J102" s="6" t="str">
        <f aca="false">IF(AND(AND(Ziele!$B$18="Plan bereit",28&lt;=Ziele!$B$5),Ziele!C11&gt;0,C102&gt;=Ziele!C11),28,"")</f>
        <v/>
      </c>
      <c r="K102" s="6" t="str">
        <f aca="false">IF(AND(AND(Ziele!$B$18="Plan bereit",28&lt;=Ziele!$B$5),Ziele!C12&gt;0,D102&gt;=Ziele!C12),28,"")</f>
        <v/>
      </c>
      <c r="L102" s="6" t="str">
        <f aca="false">IF(AND(AND(Ziele!$B$18="Plan bereit",28&lt;=Ziele!$B$5),Ziele!C13&gt;0,E102&gt;=Ziele!C13),28,"")</f>
        <v/>
      </c>
      <c r="M102" s="6" t="str">
        <f aca="false">IF(AND(AND(Ziele!$B$18="Plan bereit",28&lt;=Ziele!$B$5),Ziele!C14&gt;0,F102&gt;=Ziele!C14),28,"")</f>
        <v/>
      </c>
      <c r="N102" s="6" t="str">
        <f aca="false">IF(AND(AND(Ziele!$B$18="Plan bereit",28&lt;=Ziele!$B$5),Ziele!C15&gt;0,G102&gt;=Ziele!C15),28,"")</f>
        <v/>
      </c>
    </row>
    <row r="103" customFormat="false" ht="22.5" hidden="false" customHeight="true" outlineLevel="0" collapsed="false">
      <c r="A103" s="6" t="n">
        <f aca="false">IF(AND(Ziele!$B$18="Plan bereit",29&lt;=Ziele!$B$5),29,"")</f>
        <v>29</v>
      </c>
      <c r="B103" s="7" t="n">
        <f aca="false">IF(AND(Ziele!$B$18="Plan bereit",29&lt;=Ziele!$B$5),ROUND(B102+E35,2),"")</f>
        <v>10000</v>
      </c>
      <c r="C103" s="7" t="n">
        <f aca="false">IF(AND(Ziele!$B$18="Plan bereit",29&lt;=Ziele!$B$5),ROUND(C102+F35,2),"")</f>
        <v>26150</v>
      </c>
      <c r="D103" s="7" t="n">
        <f aca="false">IF(AND(Ziele!$B$18="Plan bereit",29&lt;=Ziele!$B$5),ROUND(D102+G35,2),"")</f>
        <v>0</v>
      </c>
      <c r="E103" s="7" t="n">
        <f aca="false">IF(AND(Ziele!$B$18="Plan bereit",29&lt;=Ziele!$B$5),ROUND(E102+H35,2),"")</f>
        <v>0</v>
      </c>
      <c r="F103" s="7" t="n">
        <f aca="false">IF(AND(Ziele!$B$18="Plan bereit",29&lt;=Ziele!$B$5),ROUND(F102+I35,2),"")</f>
        <v>0</v>
      </c>
      <c r="G103" s="7" t="n">
        <f aca="false">IF(AND(Ziele!$B$18="Plan bereit",29&lt;=Ziele!$B$5),ROUND(G102+J35,2),"")</f>
        <v>0</v>
      </c>
      <c r="H103" s="7" t="n">
        <f aca="false">IF(AND(Ziele!$B$18="Plan bereit",29&lt;=Ziele!$B$5),ROUND(SUM(B103:G103),2),"")</f>
        <v>36150</v>
      </c>
      <c r="I103" s="6" t="n">
        <f aca="false">IF(AND(AND(Ziele!$B$18="Plan bereit",29&lt;=Ziele!$B$5),Ziele!C10&gt;0,B103&gt;=Ziele!C10),29,"")</f>
        <v>29</v>
      </c>
      <c r="J103" s="6" t="str">
        <f aca="false">IF(AND(AND(Ziele!$B$18="Plan bereit",29&lt;=Ziele!$B$5),Ziele!C11&gt;0,C103&gt;=Ziele!C11),29,"")</f>
        <v/>
      </c>
      <c r="K103" s="6" t="str">
        <f aca="false">IF(AND(AND(Ziele!$B$18="Plan bereit",29&lt;=Ziele!$B$5),Ziele!C12&gt;0,D103&gt;=Ziele!C12),29,"")</f>
        <v/>
      </c>
      <c r="L103" s="6" t="str">
        <f aca="false">IF(AND(AND(Ziele!$B$18="Plan bereit",29&lt;=Ziele!$B$5),Ziele!C13&gt;0,E103&gt;=Ziele!C13),29,"")</f>
        <v/>
      </c>
      <c r="M103" s="6" t="str">
        <f aca="false">IF(AND(AND(Ziele!$B$18="Plan bereit",29&lt;=Ziele!$B$5),Ziele!C14&gt;0,F103&gt;=Ziele!C14),29,"")</f>
        <v/>
      </c>
      <c r="N103" s="6" t="str">
        <f aca="false">IF(AND(AND(Ziele!$B$18="Plan bereit",29&lt;=Ziele!$B$5),Ziele!C15&gt;0,G103&gt;=Ziele!C15),29,"")</f>
        <v/>
      </c>
    </row>
    <row r="104" customFormat="false" ht="22.5" hidden="false" customHeight="true" outlineLevel="0" collapsed="false">
      <c r="A104" s="6" t="n">
        <f aca="false">IF(AND(Ziele!$B$18="Plan bereit",30&lt;=Ziele!$B$5),30,"")</f>
        <v>30</v>
      </c>
      <c r="B104" s="7" t="n">
        <f aca="false">IF(AND(Ziele!$B$18="Plan bereit",30&lt;=Ziele!$B$5),ROUND(B103+E36,2),"")</f>
        <v>10000</v>
      </c>
      <c r="C104" s="7" t="n">
        <f aca="false">IF(AND(Ziele!$B$18="Plan bereit",30&lt;=Ziele!$B$5),ROUND(C103+F36,2),"")</f>
        <v>26500</v>
      </c>
      <c r="D104" s="7" t="n">
        <f aca="false">IF(AND(Ziele!$B$18="Plan bereit",30&lt;=Ziele!$B$5),ROUND(D103+G36,2),"")</f>
        <v>0</v>
      </c>
      <c r="E104" s="7" t="n">
        <f aca="false">IF(AND(Ziele!$B$18="Plan bereit",30&lt;=Ziele!$B$5),ROUND(E103+H36,2),"")</f>
        <v>0</v>
      </c>
      <c r="F104" s="7" t="n">
        <f aca="false">IF(AND(Ziele!$B$18="Plan bereit",30&lt;=Ziele!$B$5),ROUND(F103+I36,2),"")</f>
        <v>0</v>
      </c>
      <c r="G104" s="7" t="n">
        <f aca="false">IF(AND(Ziele!$B$18="Plan bereit",30&lt;=Ziele!$B$5),ROUND(G103+J36,2),"")</f>
        <v>0</v>
      </c>
      <c r="H104" s="7" t="n">
        <f aca="false">IF(AND(Ziele!$B$18="Plan bereit",30&lt;=Ziele!$B$5),ROUND(SUM(B104:G104),2),"")</f>
        <v>36500</v>
      </c>
      <c r="I104" s="6" t="n">
        <f aca="false">IF(AND(AND(Ziele!$B$18="Plan bereit",30&lt;=Ziele!$B$5),Ziele!C10&gt;0,B104&gt;=Ziele!C10),30,"")</f>
        <v>30</v>
      </c>
      <c r="J104" s="6" t="str">
        <f aca="false">IF(AND(AND(Ziele!$B$18="Plan bereit",30&lt;=Ziele!$B$5),Ziele!C11&gt;0,C104&gt;=Ziele!C11),30,"")</f>
        <v/>
      </c>
      <c r="K104" s="6" t="str">
        <f aca="false">IF(AND(AND(Ziele!$B$18="Plan bereit",30&lt;=Ziele!$B$5),Ziele!C12&gt;0,D104&gt;=Ziele!C12),30,"")</f>
        <v/>
      </c>
      <c r="L104" s="6" t="str">
        <f aca="false">IF(AND(AND(Ziele!$B$18="Plan bereit",30&lt;=Ziele!$B$5),Ziele!C13&gt;0,E104&gt;=Ziele!C13),30,"")</f>
        <v/>
      </c>
      <c r="M104" s="6" t="str">
        <f aca="false">IF(AND(AND(Ziele!$B$18="Plan bereit",30&lt;=Ziele!$B$5),Ziele!C14&gt;0,F104&gt;=Ziele!C14),30,"")</f>
        <v/>
      </c>
      <c r="N104" s="6" t="str">
        <f aca="false">IF(AND(AND(Ziele!$B$18="Plan bereit",30&lt;=Ziele!$B$5),Ziele!C15&gt;0,G104&gt;=Ziele!C15),30,"")</f>
        <v/>
      </c>
    </row>
    <row r="105" customFormat="false" ht="22.5" hidden="false" customHeight="true" outlineLevel="0" collapsed="false">
      <c r="A105" s="6" t="n">
        <f aca="false">IF(AND(Ziele!$B$18="Plan bereit",31&lt;=Ziele!$B$5),31,"")</f>
        <v>31</v>
      </c>
      <c r="B105" s="7" t="n">
        <f aca="false">IF(AND(Ziele!$B$18="Plan bereit",31&lt;=Ziele!$B$5),ROUND(B104+E37,2),"")</f>
        <v>10000</v>
      </c>
      <c r="C105" s="7" t="n">
        <f aca="false">IF(AND(Ziele!$B$18="Plan bereit",31&lt;=Ziele!$B$5),ROUND(C104+F37,2),"")</f>
        <v>26850</v>
      </c>
      <c r="D105" s="7" t="n">
        <f aca="false">IF(AND(Ziele!$B$18="Plan bereit",31&lt;=Ziele!$B$5),ROUND(D104+G37,2),"")</f>
        <v>0</v>
      </c>
      <c r="E105" s="7" t="n">
        <f aca="false">IF(AND(Ziele!$B$18="Plan bereit",31&lt;=Ziele!$B$5),ROUND(E104+H37,2),"")</f>
        <v>0</v>
      </c>
      <c r="F105" s="7" t="n">
        <f aca="false">IF(AND(Ziele!$B$18="Plan bereit",31&lt;=Ziele!$B$5),ROUND(F104+I37,2),"")</f>
        <v>0</v>
      </c>
      <c r="G105" s="7" t="n">
        <f aca="false">IF(AND(Ziele!$B$18="Plan bereit",31&lt;=Ziele!$B$5),ROUND(G104+J37,2),"")</f>
        <v>0</v>
      </c>
      <c r="H105" s="7" t="n">
        <f aca="false">IF(AND(Ziele!$B$18="Plan bereit",31&lt;=Ziele!$B$5),ROUND(SUM(B105:G105),2),"")</f>
        <v>36850</v>
      </c>
      <c r="I105" s="6" t="n">
        <f aca="false">IF(AND(AND(Ziele!$B$18="Plan bereit",31&lt;=Ziele!$B$5),Ziele!C10&gt;0,B105&gt;=Ziele!C10),31,"")</f>
        <v>31</v>
      </c>
      <c r="J105" s="6" t="str">
        <f aca="false">IF(AND(AND(Ziele!$B$18="Plan bereit",31&lt;=Ziele!$B$5),Ziele!C11&gt;0,C105&gt;=Ziele!C11),31,"")</f>
        <v/>
      </c>
      <c r="K105" s="6" t="str">
        <f aca="false">IF(AND(AND(Ziele!$B$18="Plan bereit",31&lt;=Ziele!$B$5),Ziele!C12&gt;0,D105&gt;=Ziele!C12),31,"")</f>
        <v/>
      </c>
      <c r="L105" s="6" t="str">
        <f aca="false">IF(AND(AND(Ziele!$B$18="Plan bereit",31&lt;=Ziele!$B$5),Ziele!C13&gt;0,E105&gt;=Ziele!C13),31,"")</f>
        <v/>
      </c>
      <c r="M105" s="6" t="str">
        <f aca="false">IF(AND(AND(Ziele!$B$18="Plan bereit",31&lt;=Ziele!$B$5),Ziele!C14&gt;0,F105&gt;=Ziele!C14),31,"")</f>
        <v/>
      </c>
      <c r="N105" s="6" t="str">
        <f aca="false">IF(AND(AND(Ziele!$B$18="Plan bereit",31&lt;=Ziele!$B$5),Ziele!C15&gt;0,G105&gt;=Ziele!C15),31,"")</f>
        <v/>
      </c>
    </row>
    <row r="106" customFormat="false" ht="22.5" hidden="false" customHeight="true" outlineLevel="0" collapsed="false">
      <c r="A106" s="6" t="n">
        <f aca="false">IF(AND(Ziele!$B$18="Plan bereit",32&lt;=Ziele!$B$5),32,"")</f>
        <v>32</v>
      </c>
      <c r="B106" s="7" t="n">
        <f aca="false">IF(AND(Ziele!$B$18="Plan bereit",32&lt;=Ziele!$B$5),ROUND(B105+E38,2),"")</f>
        <v>10000</v>
      </c>
      <c r="C106" s="7" t="n">
        <f aca="false">IF(AND(Ziele!$B$18="Plan bereit",32&lt;=Ziele!$B$5),ROUND(C105+F38,2),"")</f>
        <v>27200</v>
      </c>
      <c r="D106" s="7" t="n">
        <f aca="false">IF(AND(Ziele!$B$18="Plan bereit",32&lt;=Ziele!$B$5),ROUND(D105+G38,2),"")</f>
        <v>0</v>
      </c>
      <c r="E106" s="7" t="n">
        <f aca="false">IF(AND(Ziele!$B$18="Plan bereit",32&lt;=Ziele!$B$5),ROUND(E105+H38,2),"")</f>
        <v>0</v>
      </c>
      <c r="F106" s="7" t="n">
        <f aca="false">IF(AND(Ziele!$B$18="Plan bereit",32&lt;=Ziele!$B$5),ROUND(F105+I38,2),"")</f>
        <v>0</v>
      </c>
      <c r="G106" s="7" t="n">
        <f aca="false">IF(AND(Ziele!$B$18="Plan bereit",32&lt;=Ziele!$B$5),ROUND(G105+J38,2),"")</f>
        <v>0</v>
      </c>
      <c r="H106" s="7" t="n">
        <f aca="false">IF(AND(Ziele!$B$18="Plan bereit",32&lt;=Ziele!$B$5),ROUND(SUM(B106:G106),2),"")</f>
        <v>37200</v>
      </c>
      <c r="I106" s="6" t="n">
        <f aca="false">IF(AND(AND(Ziele!$B$18="Plan bereit",32&lt;=Ziele!$B$5),Ziele!C10&gt;0,B106&gt;=Ziele!C10),32,"")</f>
        <v>32</v>
      </c>
      <c r="J106" s="6" t="str">
        <f aca="false">IF(AND(AND(Ziele!$B$18="Plan bereit",32&lt;=Ziele!$B$5),Ziele!C11&gt;0,C106&gt;=Ziele!C11),32,"")</f>
        <v/>
      </c>
      <c r="K106" s="6" t="str">
        <f aca="false">IF(AND(AND(Ziele!$B$18="Plan bereit",32&lt;=Ziele!$B$5),Ziele!C12&gt;0,D106&gt;=Ziele!C12),32,"")</f>
        <v/>
      </c>
      <c r="L106" s="6" t="str">
        <f aca="false">IF(AND(AND(Ziele!$B$18="Plan bereit",32&lt;=Ziele!$B$5),Ziele!C13&gt;0,E106&gt;=Ziele!C13),32,"")</f>
        <v/>
      </c>
      <c r="M106" s="6" t="str">
        <f aca="false">IF(AND(AND(Ziele!$B$18="Plan bereit",32&lt;=Ziele!$B$5),Ziele!C14&gt;0,F106&gt;=Ziele!C14),32,"")</f>
        <v/>
      </c>
      <c r="N106" s="6" t="str">
        <f aca="false">IF(AND(AND(Ziele!$B$18="Plan bereit",32&lt;=Ziele!$B$5),Ziele!C15&gt;0,G106&gt;=Ziele!C15),32,"")</f>
        <v/>
      </c>
    </row>
    <row r="107" customFormat="false" ht="22.5" hidden="false" customHeight="true" outlineLevel="0" collapsed="false">
      <c r="A107" s="6" t="n">
        <f aca="false">IF(AND(Ziele!$B$18="Plan bereit",33&lt;=Ziele!$B$5),33,"")</f>
        <v>33</v>
      </c>
      <c r="B107" s="7" t="n">
        <f aca="false">IF(AND(Ziele!$B$18="Plan bereit",33&lt;=Ziele!$B$5),ROUND(B106+E39,2),"")</f>
        <v>10000</v>
      </c>
      <c r="C107" s="7" t="n">
        <f aca="false">IF(AND(Ziele!$B$18="Plan bereit",33&lt;=Ziele!$B$5),ROUND(C106+F39,2),"")</f>
        <v>27550</v>
      </c>
      <c r="D107" s="7" t="n">
        <f aca="false">IF(AND(Ziele!$B$18="Plan bereit",33&lt;=Ziele!$B$5),ROUND(D106+G39,2),"")</f>
        <v>0</v>
      </c>
      <c r="E107" s="7" t="n">
        <f aca="false">IF(AND(Ziele!$B$18="Plan bereit",33&lt;=Ziele!$B$5),ROUND(E106+H39,2),"")</f>
        <v>0</v>
      </c>
      <c r="F107" s="7" t="n">
        <f aca="false">IF(AND(Ziele!$B$18="Plan bereit",33&lt;=Ziele!$B$5),ROUND(F106+I39,2),"")</f>
        <v>0</v>
      </c>
      <c r="G107" s="7" t="n">
        <f aca="false">IF(AND(Ziele!$B$18="Plan bereit",33&lt;=Ziele!$B$5),ROUND(G106+J39,2),"")</f>
        <v>0</v>
      </c>
      <c r="H107" s="7" t="n">
        <f aca="false">IF(AND(Ziele!$B$18="Plan bereit",33&lt;=Ziele!$B$5),ROUND(SUM(B107:G107),2),"")</f>
        <v>37550</v>
      </c>
      <c r="I107" s="6" t="n">
        <f aca="false">IF(AND(AND(Ziele!$B$18="Plan bereit",33&lt;=Ziele!$B$5),Ziele!C10&gt;0,B107&gt;=Ziele!C10),33,"")</f>
        <v>33</v>
      </c>
      <c r="J107" s="6" t="str">
        <f aca="false">IF(AND(AND(Ziele!$B$18="Plan bereit",33&lt;=Ziele!$B$5),Ziele!C11&gt;0,C107&gt;=Ziele!C11),33,"")</f>
        <v/>
      </c>
      <c r="K107" s="6" t="str">
        <f aca="false">IF(AND(AND(Ziele!$B$18="Plan bereit",33&lt;=Ziele!$B$5),Ziele!C12&gt;0,D107&gt;=Ziele!C12),33,"")</f>
        <v/>
      </c>
      <c r="L107" s="6" t="str">
        <f aca="false">IF(AND(AND(Ziele!$B$18="Plan bereit",33&lt;=Ziele!$B$5),Ziele!C13&gt;0,E107&gt;=Ziele!C13),33,"")</f>
        <v/>
      </c>
      <c r="M107" s="6" t="str">
        <f aca="false">IF(AND(AND(Ziele!$B$18="Plan bereit",33&lt;=Ziele!$B$5),Ziele!C14&gt;0,F107&gt;=Ziele!C14),33,"")</f>
        <v/>
      </c>
      <c r="N107" s="6" t="str">
        <f aca="false">IF(AND(AND(Ziele!$B$18="Plan bereit",33&lt;=Ziele!$B$5),Ziele!C15&gt;0,G107&gt;=Ziele!C15),33,"")</f>
        <v/>
      </c>
    </row>
    <row r="108" customFormat="false" ht="22.5" hidden="false" customHeight="true" outlineLevel="0" collapsed="false">
      <c r="A108" s="6" t="n">
        <f aca="false">IF(AND(Ziele!$B$18="Plan bereit",34&lt;=Ziele!$B$5),34,"")</f>
        <v>34</v>
      </c>
      <c r="B108" s="7" t="n">
        <f aca="false">IF(AND(Ziele!$B$18="Plan bereit",34&lt;=Ziele!$B$5),ROUND(B107+E40,2),"")</f>
        <v>10000</v>
      </c>
      <c r="C108" s="7" t="n">
        <f aca="false">IF(AND(Ziele!$B$18="Plan bereit",34&lt;=Ziele!$B$5),ROUND(C107+F40,2),"")</f>
        <v>27900</v>
      </c>
      <c r="D108" s="7" t="n">
        <f aca="false">IF(AND(Ziele!$B$18="Plan bereit",34&lt;=Ziele!$B$5),ROUND(D107+G40,2),"")</f>
        <v>0</v>
      </c>
      <c r="E108" s="7" t="n">
        <f aca="false">IF(AND(Ziele!$B$18="Plan bereit",34&lt;=Ziele!$B$5),ROUND(E107+H40,2),"")</f>
        <v>0</v>
      </c>
      <c r="F108" s="7" t="n">
        <f aca="false">IF(AND(Ziele!$B$18="Plan bereit",34&lt;=Ziele!$B$5),ROUND(F107+I40,2),"")</f>
        <v>0</v>
      </c>
      <c r="G108" s="7" t="n">
        <f aca="false">IF(AND(Ziele!$B$18="Plan bereit",34&lt;=Ziele!$B$5),ROUND(G107+J40,2),"")</f>
        <v>0</v>
      </c>
      <c r="H108" s="7" t="n">
        <f aca="false">IF(AND(Ziele!$B$18="Plan bereit",34&lt;=Ziele!$B$5),ROUND(SUM(B108:G108),2),"")</f>
        <v>37900</v>
      </c>
      <c r="I108" s="6" t="n">
        <f aca="false">IF(AND(AND(Ziele!$B$18="Plan bereit",34&lt;=Ziele!$B$5),Ziele!C10&gt;0,B108&gt;=Ziele!C10),34,"")</f>
        <v>34</v>
      </c>
      <c r="J108" s="6" t="str">
        <f aca="false">IF(AND(AND(Ziele!$B$18="Plan bereit",34&lt;=Ziele!$B$5),Ziele!C11&gt;0,C108&gt;=Ziele!C11),34,"")</f>
        <v/>
      </c>
      <c r="K108" s="6" t="str">
        <f aca="false">IF(AND(AND(Ziele!$B$18="Plan bereit",34&lt;=Ziele!$B$5),Ziele!C12&gt;0,D108&gt;=Ziele!C12),34,"")</f>
        <v/>
      </c>
      <c r="L108" s="6" t="str">
        <f aca="false">IF(AND(AND(Ziele!$B$18="Plan bereit",34&lt;=Ziele!$B$5),Ziele!C13&gt;0,E108&gt;=Ziele!C13),34,"")</f>
        <v/>
      </c>
      <c r="M108" s="6" t="str">
        <f aca="false">IF(AND(AND(Ziele!$B$18="Plan bereit",34&lt;=Ziele!$B$5),Ziele!C14&gt;0,F108&gt;=Ziele!C14),34,"")</f>
        <v/>
      </c>
      <c r="N108" s="6" t="str">
        <f aca="false">IF(AND(AND(Ziele!$B$18="Plan bereit",34&lt;=Ziele!$B$5),Ziele!C15&gt;0,G108&gt;=Ziele!C15),34,"")</f>
        <v/>
      </c>
    </row>
    <row r="109" customFormat="false" ht="22.5" hidden="false" customHeight="true" outlineLevel="0" collapsed="false">
      <c r="A109" s="6" t="n">
        <f aca="false">IF(AND(Ziele!$B$18="Plan bereit",35&lt;=Ziele!$B$5),35,"")</f>
        <v>35</v>
      </c>
      <c r="B109" s="7" t="n">
        <f aca="false">IF(AND(Ziele!$B$18="Plan bereit",35&lt;=Ziele!$B$5),ROUND(B108+E41,2),"")</f>
        <v>10000</v>
      </c>
      <c r="C109" s="7" t="n">
        <f aca="false">IF(AND(Ziele!$B$18="Plan bereit",35&lt;=Ziele!$B$5),ROUND(C108+F41,2),"")</f>
        <v>28250</v>
      </c>
      <c r="D109" s="7" t="n">
        <f aca="false">IF(AND(Ziele!$B$18="Plan bereit",35&lt;=Ziele!$B$5),ROUND(D108+G41,2),"")</f>
        <v>0</v>
      </c>
      <c r="E109" s="7" t="n">
        <f aca="false">IF(AND(Ziele!$B$18="Plan bereit",35&lt;=Ziele!$B$5),ROUND(E108+H41,2),"")</f>
        <v>0</v>
      </c>
      <c r="F109" s="7" t="n">
        <f aca="false">IF(AND(Ziele!$B$18="Plan bereit",35&lt;=Ziele!$B$5),ROUND(F108+I41,2),"")</f>
        <v>0</v>
      </c>
      <c r="G109" s="7" t="n">
        <f aca="false">IF(AND(Ziele!$B$18="Plan bereit",35&lt;=Ziele!$B$5),ROUND(G108+J41,2),"")</f>
        <v>0</v>
      </c>
      <c r="H109" s="7" t="n">
        <f aca="false">IF(AND(Ziele!$B$18="Plan bereit",35&lt;=Ziele!$B$5),ROUND(SUM(B109:G109),2),"")</f>
        <v>38250</v>
      </c>
      <c r="I109" s="6" t="n">
        <f aca="false">IF(AND(AND(Ziele!$B$18="Plan bereit",35&lt;=Ziele!$B$5),Ziele!C10&gt;0,B109&gt;=Ziele!C10),35,"")</f>
        <v>35</v>
      </c>
      <c r="J109" s="6" t="str">
        <f aca="false">IF(AND(AND(Ziele!$B$18="Plan bereit",35&lt;=Ziele!$B$5),Ziele!C11&gt;0,C109&gt;=Ziele!C11),35,"")</f>
        <v/>
      </c>
      <c r="K109" s="6" t="str">
        <f aca="false">IF(AND(AND(Ziele!$B$18="Plan bereit",35&lt;=Ziele!$B$5),Ziele!C12&gt;0,D109&gt;=Ziele!C12),35,"")</f>
        <v/>
      </c>
      <c r="L109" s="6" t="str">
        <f aca="false">IF(AND(AND(Ziele!$B$18="Plan bereit",35&lt;=Ziele!$B$5),Ziele!C13&gt;0,E109&gt;=Ziele!C13),35,"")</f>
        <v/>
      </c>
      <c r="M109" s="6" t="str">
        <f aca="false">IF(AND(AND(Ziele!$B$18="Plan bereit",35&lt;=Ziele!$B$5),Ziele!C14&gt;0,F109&gt;=Ziele!C14),35,"")</f>
        <v/>
      </c>
      <c r="N109" s="6" t="str">
        <f aca="false">IF(AND(AND(Ziele!$B$18="Plan bereit",35&lt;=Ziele!$B$5),Ziele!C15&gt;0,G109&gt;=Ziele!C15),35,"")</f>
        <v/>
      </c>
    </row>
    <row r="110" customFormat="false" ht="22.5" hidden="false" customHeight="true" outlineLevel="0" collapsed="false">
      <c r="A110" s="6" t="n">
        <f aca="false">IF(AND(Ziele!$B$18="Plan bereit",36&lt;=Ziele!$B$5),36,"")</f>
        <v>36</v>
      </c>
      <c r="B110" s="7" t="n">
        <f aca="false">IF(AND(Ziele!$B$18="Plan bereit",36&lt;=Ziele!$B$5),ROUND(B109+E42,2),"")</f>
        <v>10000</v>
      </c>
      <c r="C110" s="7" t="n">
        <f aca="false">IF(AND(Ziele!$B$18="Plan bereit",36&lt;=Ziele!$B$5),ROUND(C109+F42,2),"")</f>
        <v>28600</v>
      </c>
      <c r="D110" s="7" t="n">
        <f aca="false">IF(AND(Ziele!$B$18="Plan bereit",36&lt;=Ziele!$B$5),ROUND(D109+G42,2),"")</f>
        <v>0</v>
      </c>
      <c r="E110" s="7" t="n">
        <f aca="false">IF(AND(Ziele!$B$18="Plan bereit",36&lt;=Ziele!$B$5),ROUND(E109+H42,2),"")</f>
        <v>0</v>
      </c>
      <c r="F110" s="7" t="n">
        <f aca="false">IF(AND(Ziele!$B$18="Plan bereit",36&lt;=Ziele!$B$5),ROUND(F109+I42,2),"")</f>
        <v>0</v>
      </c>
      <c r="G110" s="7" t="n">
        <f aca="false">IF(AND(Ziele!$B$18="Plan bereit",36&lt;=Ziele!$B$5),ROUND(G109+J42,2),"")</f>
        <v>0</v>
      </c>
      <c r="H110" s="7" t="n">
        <f aca="false">IF(AND(Ziele!$B$18="Plan bereit",36&lt;=Ziele!$B$5),ROUND(SUM(B110:G110),2),"")</f>
        <v>38600</v>
      </c>
      <c r="I110" s="6" t="n">
        <f aca="false">IF(AND(AND(Ziele!$B$18="Plan bereit",36&lt;=Ziele!$B$5),Ziele!C10&gt;0,B110&gt;=Ziele!C10),36,"")</f>
        <v>36</v>
      </c>
      <c r="J110" s="6" t="str">
        <f aca="false">IF(AND(AND(Ziele!$B$18="Plan bereit",36&lt;=Ziele!$B$5),Ziele!C11&gt;0,C110&gt;=Ziele!C11),36,"")</f>
        <v/>
      </c>
      <c r="K110" s="6" t="str">
        <f aca="false">IF(AND(AND(Ziele!$B$18="Plan bereit",36&lt;=Ziele!$B$5),Ziele!C12&gt;0,D110&gt;=Ziele!C12),36,"")</f>
        <v/>
      </c>
      <c r="L110" s="6" t="str">
        <f aca="false">IF(AND(AND(Ziele!$B$18="Plan bereit",36&lt;=Ziele!$B$5),Ziele!C13&gt;0,E110&gt;=Ziele!C13),36,"")</f>
        <v/>
      </c>
      <c r="M110" s="6" t="str">
        <f aca="false">IF(AND(AND(Ziele!$B$18="Plan bereit",36&lt;=Ziele!$B$5),Ziele!C14&gt;0,F110&gt;=Ziele!C14),36,"")</f>
        <v/>
      </c>
      <c r="N110" s="6" t="str">
        <f aca="false">IF(AND(AND(Ziele!$B$18="Plan bereit",36&lt;=Ziele!$B$5),Ziele!C15&gt;0,G110&gt;=Ziele!C15),36,"")</f>
        <v/>
      </c>
    </row>
    <row r="111" customFormat="false" ht="22.5" hidden="false" customHeight="true" outlineLevel="0" collapsed="false">
      <c r="A111" s="6" t="n">
        <f aca="false">IF(AND(Ziele!$B$18="Plan bereit",37&lt;=Ziele!$B$5),37,"")</f>
        <v>37</v>
      </c>
      <c r="B111" s="7" t="n">
        <f aca="false">IF(AND(Ziele!$B$18="Plan bereit",37&lt;=Ziele!$B$5),ROUND(B110+E43,2),"")</f>
        <v>10000</v>
      </c>
      <c r="C111" s="7" t="n">
        <f aca="false">IF(AND(Ziele!$B$18="Plan bereit",37&lt;=Ziele!$B$5),ROUND(C110+F43,2),"")</f>
        <v>28950</v>
      </c>
      <c r="D111" s="7" t="n">
        <f aca="false">IF(AND(Ziele!$B$18="Plan bereit",37&lt;=Ziele!$B$5),ROUND(D110+G43,2),"")</f>
        <v>0</v>
      </c>
      <c r="E111" s="7" t="n">
        <f aca="false">IF(AND(Ziele!$B$18="Plan bereit",37&lt;=Ziele!$B$5),ROUND(E110+H43,2),"")</f>
        <v>0</v>
      </c>
      <c r="F111" s="7" t="n">
        <f aca="false">IF(AND(Ziele!$B$18="Plan bereit",37&lt;=Ziele!$B$5),ROUND(F110+I43,2),"")</f>
        <v>0</v>
      </c>
      <c r="G111" s="7" t="n">
        <f aca="false">IF(AND(Ziele!$B$18="Plan bereit",37&lt;=Ziele!$B$5),ROUND(G110+J43,2),"")</f>
        <v>0</v>
      </c>
      <c r="H111" s="7" t="n">
        <f aca="false">IF(AND(Ziele!$B$18="Plan bereit",37&lt;=Ziele!$B$5),ROUND(SUM(B111:G111),2),"")</f>
        <v>38950</v>
      </c>
      <c r="I111" s="6" t="n">
        <f aca="false">IF(AND(AND(Ziele!$B$18="Plan bereit",37&lt;=Ziele!$B$5),Ziele!C10&gt;0,B111&gt;=Ziele!C10),37,"")</f>
        <v>37</v>
      </c>
      <c r="J111" s="6" t="str">
        <f aca="false">IF(AND(AND(Ziele!$B$18="Plan bereit",37&lt;=Ziele!$B$5),Ziele!C11&gt;0,C111&gt;=Ziele!C11),37,"")</f>
        <v/>
      </c>
      <c r="K111" s="6" t="str">
        <f aca="false">IF(AND(AND(Ziele!$B$18="Plan bereit",37&lt;=Ziele!$B$5),Ziele!C12&gt;0,D111&gt;=Ziele!C12),37,"")</f>
        <v/>
      </c>
      <c r="L111" s="6" t="str">
        <f aca="false">IF(AND(AND(Ziele!$B$18="Plan bereit",37&lt;=Ziele!$B$5),Ziele!C13&gt;0,E111&gt;=Ziele!C13),37,"")</f>
        <v/>
      </c>
      <c r="M111" s="6" t="str">
        <f aca="false">IF(AND(AND(Ziele!$B$18="Plan bereit",37&lt;=Ziele!$B$5),Ziele!C14&gt;0,F111&gt;=Ziele!C14),37,"")</f>
        <v/>
      </c>
      <c r="N111" s="6" t="str">
        <f aca="false">IF(AND(AND(Ziele!$B$18="Plan bereit",37&lt;=Ziele!$B$5),Ziele!C15&gt;0,G111&gt;=Ziele!C15),37,"")</f>
        <v/>
      </c>
    </row>
    <row r="112" customFormat="false" ht="22.5" hidden="false" customHeight="true" outlineLevel="0" collapsed="false">
      <c r="A112" s="6" t="n">
        <f aca="false">IF(AND(Ziele!$B$18="Plan bereit",38&lt;=Ziele!$B$5),38,"")</f>
        <v>38</v>
      </c>
      <c r="B112" s="7" t="n">
        <f aca="false">IF(AND(Ziele!$B$18="Plan bereit",38&lt;=Ziele!$B$5),ROUND(B111+E44,2),"")</f>
        <v>10000</v>
      </c>
      <c r="C112" s="7" t="n">
        <f aca="false">IF(AND(Ziele!$B$18="Plan bereit",38&lt;=Ziele!$B$5),ROUND(C111+F44,2),"")</f>
        <v>29300</v>
      </c>
      <c r="D112" s="7" t="n">
        <f aca="false">IF(AND(Ziele!$B$18="Plan bereit",38&lt;=Ziele!$B$5),ROUND(D111+G44,2),"")</f>
        <v>0</v>
      </c>
      <c r="E112" s="7" t="n">
        <f aca="false">IF(AND(Ziele!$B$18="Plan bereit",38&lt;=Ziele!$B$5),ROUND(E111+H44,2),"")</f>
        <v>0</v>
      </c>
      <c r="F112" s="7" t="n">
        <f aca="false">IF(AND(Ziele!$B$18="Plan bereit",38&lt;=Ziele!$B$5),ROUND(F111+I44,2),"")</f>
        <v>0</v>
      </c>
      <c r="G112" s="7" t="n">
        <f aca="false">IF(AND(Ziele!$B$18="Plan bereit",38&lt;=Ziele!$B$5),ROUND(G111+J44,2),"")</f>
        <v>0</v>
      </c>
      <c r="H112" s="7" t="n">
        <f aca="false">IF(AND(Ziele!$B$18="Plan bereit",38&lt;=Ziele!$B$5),ROUND(SUM(B112:G112),2),"")</f>
        <v>39300</v>
      </c>
      <c r="I112" s="6" t="n">
        <f aca="false">IF(AND(AND(Ziele!$B$18="Plan bereit",38&lt;=Ziele!$B$5),Ziele!C10&gt;0,B112&gt;=Ziele!C10),38,"")</f>
        <v>38</v>
      </c>
      <c r="J112" s="6" t="str">
        <f aca="false">IF(AND(AND(Ziele!$B$18="Plan bereit",38&lt;=Ziele!$B$5),Ziele!C11&gt;0,C112&gt;=Ziele!C11),38,"")</f>
        <v/>
      </c>
      <c r="K112" s="6" t="str">
        <f aca="false">IF(AND(AND(Ziele!$B$18="Plan bereit",38&lt;=Ziele!$B$5),Ziele!C12&gt;0,D112&gt;=Ziele!C12),38,"")</f>
        <v/>
      </c>
      <c r="L112" s="6" t="str">
        <f aca="false">IF(AND(AND(Ziele!$B$18="Plan bereit",38&lt;=Ziele!$B$5),Ziele!C13&gt;0,E112&gt;=Ziele!C13),38,"")</f>
        <v/>
      </c>
      <c r="M112" s="6" t="str">
        <f aca="false">IF(AND(AND(Ziele!$B$18="Plan bereit",38&lt;=Ziele!$B$5),Ziele!C14&gt;0,F112&gt;=Ziele!C14),38,"")</f>
        <v/>
      </c>
      <c r="N112" s="6" t="str">
        <f aca="false">IF(AND(AND(Ziele!$B$18="Plan bereit",38&lt;=Ziele!$B$5),Ziele!C15&gt;0,G112&gt;=Ziele!C15),38,"")</f>
        <v/>
      </c>
    </row>
    <row r="113" customFormat="false" ht="22.5" hidden="false" customHeight="true" outlineLevel="0" collapsed="false">
      <c r="A113" s="6" t="n">
        <f aca="false">IF(AND(Ziele!$B$18="Plan bereit",39&lt;=Ziele!$B$5),39,"")</f>
        <v>39</v>
      </c>
      <c r="B113" s="7" t="n">
        <f aca="false">IF(AND(Ziele!$B$18="Plan bereit",39&lt;=Ziele!$B$5),ROUND(B112+E45,2),"")</f>
        <v>10000</v>
      </c>
      <c r="C113" s="7" t="n">
        <f aca="false">IF(AND(Ziele!$B$18="Plan bereit",39&lt;=Ziele!$B$5),ROUND(C112+F45,2),"")</f>
        <v>29650</v>
      </c>
      <c r="D113" s="7" t="n">
        <f aca="false">IF(AND(Ziele!$B$18="Plan bereit",39&lt;=Ziele!$B$5),ROUND(D112+G45,2),"")</f>
        <v>0</v>
      </c>
      <c r="E113" s="7" t="n">
        <f aca="false">IF(AND(Ziele!$B$18="Plan bereit",39&lt;=Ziele!$B$5),ROUND(E112+H45,2),"")</f>
        <v>0</v>
      </c>
      <c r="F113" s="7" t="n">
        <f aca="false">IF(AND(Ziele!$B$18="Plan bereit",39&lt;=Ziele!$B$5),ROUND(F112+I45,2),"")</f>
        <v>0</v>
      </c>
      <c r="G113" s="7" t="n">
        <f aca="false">IF(AND(Ziele!$B$18="Plan bereit",39&lt;=Ziele!$B$5),ROUND(G112+J45,2),"")</f>
        <v>0</v>
      </c>
      <c r="H113" s="7" t="n">
        <f aca="false">IF(AND(Ziele!$B$18="Plan bereit",39&lt;=Ziele!$B$5),ROUND(SUM(B113:G113),2),"")</f>
        <v>39650</v>
      </c>
      <c r="I113" s="6" t="n">
        <f aca="false">IF(AND(AND(Ziele!$B$18="Plan bereit",39&lt;=Ziele!$B$5),Ziele!C10&gt;0,B113&gt;=Ziele!C10),39,"")</f>
        <v>39</v>
      </c>
      <c r="J113" s="6" t="str">
        <f aca="false">IF(AND(AND(Ziele!$B$18="Plan bereit",39&lt;=Ziele!$B$5),Ziele!C11&gt;0,C113&gt;=Ziele!C11),39,"")</f>
        <v/>
      </c>
      <c r="K113" s="6" t="str">
        <f aca="false">IF(AND(AND(Ziele!$B$18="Plan bereit",39&lt;=Ziele!$B$5),Ziele!C12&gt;0,D113&gt;=Ziele!C12),39,"")</f>
        <v/>
      </c>
      <c r="L113" s="6" t="str">
        <f aca="false">IF(AND(AND(Ziele!$B$18="Plan bereit",39&lt;=Ziele!$B$5),Ziele!C13&gt;0,E113&gt;=Ziele!C13),39,"")</f>
        <v/>
      </c>
      <c r="M113" s="6" t="str">
        <f aca="false">IF(AND(AND(Ziele!$B$18="Plan bereit",39&lt;=Ziele!$B$5),Ziele!C14&gt;0,F113&gt;=Ziele!C14),39,"")</f>
        <v/>
      </c>
      <c r="N113" s="6" t="str">
        <f aca="false">IF(AND(AND(Ziele!$B$18="Plan bereit",39&lt;=Ziele!$B$5),Ziele!C15&gt;0,G113&gt;=Ziele!C15),39,"")</f>
        <v/>
      </c>
    </row>
    <row r="114" customFormat="false" ht="22.5" hidden="false" customHeight="true" outlineLevel="0" collapsed="false">
      <c r="A114" s="6" t="n">
        <f aca="false">IF(AND(Ziele!$B$18="Plan bereit",40&lt;=Ziele!$B$5),40,"")</f>
        <v>40</v>
      </c>
      <c r="B114" s="7" t="n">
        <f aca="false">IF(AND(Ziele!$B$18="Plan bereit",40&lt;=Ziele!$B$5),ROUND(B113+E46,2),"")</f>
        <v>10000</v>
      </c>
      <c r="C114" s="7" t="n">
        <f aca="false">IF(AND(Ziele!$B$18="Plan bereit",40&lt;=Ziele!$B$5),ROUND(C113+F46,2),"")</f>
        <v>30000</v>
      </c>
      <c r="D114" s="7" t="n">
        <f aca="false">IF(AND(Ziele!$B$18="Plan bereit",40&lt;=Ziele!$B$5),ROUND(D113+G46,2),"")</f>
        <v>0</v>
      </c>
      <c r="E114" s="7" t="n">
        <f aca="false">IF(AND(Ziele!$B$18="Plan bereit",40&lt;=Ziele!$B$5),ROUND(E113+H46,2),"")</f>
        <v>0</v>
      </c>
      <c r="F114" s="7" t="n">
        <f aca="false">IF(AND(Ziele!$B$18="Plan bereit",40&lt;=Ziele!$B$5),ROUND(F113+I46,2),"")</f>
        <v>0</v>
      </c>
      <c r="G114" s="7" t="n">
        <f aca="false">IF(AND(Ziele!$B$18="Plan bereit",40&lt;=Ziele!$B$5),ROUND(G113+J46,2),"")</f>
        <v>0</v>
      </c>
      <c r="H114" s="7" t="n">
        <f aca="false">IF(AND(Ziele!$B$18="Plan bereit",40&lt;=Ziele!$B$5),ROUND(SUM(B114:G114),2),"")</f>
        <v>40000</v>
      </c>
      <c r="I114" s="6" t="n">
        <f aca="false">IF(AND(AND(Ziele!$B$18="Plan bereit",40&lt;=Ziele!$B$5),Ziele!C10&gt;0,B114&gt;=Ziele!C10),40,"")</f>
        <v>40</v>
      </c>
      <c r="J114" s="6" t="str">
        <f aca="false">IF(AND(AND(Ziele!$B$18="Plan bereit",40&lt;=Ziele!$B$5),Ziele!C11&gt;0,C114&gt;=Ziele!C11),40,"")</f>
        <v/>
      </c>
      <c r="K114" s="6" t="str">
        <f aca="false">IF(AND(AND(Ziele!$B$18="Plan bereit",40&lt;=Ziele!$B$5),Ziele!C12&gt;0,D114&gt;=Ziele!C12),40,"")</f>
        <v/>
      </c>
      <c r="L114" s="6" t="str">
        <f aca="false">IF(AND(AND(Ziele!$B$18="Plan bereit",40&lt;=Ziele!$B$5),Ziele!C13&gt;0,E114&gt;=Ziele!C13),40,"")</f>
        <v/>
      </c>
      <c r="M114" s="6" t="str">
        <f aca="false">IF(AND(AND(Ziele!$B$18="Plan bereit",40&lt;=Ziele!$B$5),Ziele!C14&gt;0,F114&gt;=Ziele!C14),40,"")</f>
        <v/>
      </c>
      <c r="N114" s="6" t="str">
        <f aca="false">IF(AND(AND(Ziele!$B$18="Plan bereit",40&lt;=Ziele!$B$5),Ziele!C15&gt;0,G114&gt;=Ziele!C15),40,"")</f>
        <v/>
      </c>
    </row>
    <row r="115" customFormat="false" ht="22.5" hidden="false" customHeight="true" outlineLevel="0" collapsed="false">
      <c r="A115" s="6" t="n">
        <f aca="false">IF(AND(Ziele!$B$18="Plan bereit",41&lt;=Ziele!$B$5),41,"")</f>
        <v>41</v>
      </c>
      <c r="B115" s="7" t="n">
        <f aca="false">IF(AND(Ziele!$B$18="Plan bereit",41&lt;=Ziele!$B$5),ROUND(B114+E47,2),"")</f>
        <v>10000</v>
      </c>
      <c r="C115" s="7" t="n">
        <f aca="false">IF(AND(Ziele!$B$18="Plan bereit",41&lt;=Ziele!$B$5),ROUND(C114+F47,2),"")</f>
        <v>30350</v>
      </c>
      <c r="D115" s="7" t="n">
        <f aca="false">IF(AND(Ziele!$B$18="Plan bereit",41&lt;=Ziele!$B$5),ROUND(D114+G47,2),"")</f>
        <v>0</v>
      </c>
      <c r="E115" s="7" t="n">
        <f aca="false">IF(AND(Ziele!$B$18="Plan bereit",41&lt;=Ziele!$B$5),ROUND(E114+H47,2),"")</f>
        <v>0</v>
      </c>
      <c r="F115" s="7" t="n">
        <f aca="false">IF(AND(Ziele!$B$18="Plan bereit",41&lt;=Ziele!$B$5),ROUND(F114+I47,2),"")</f>
        <v>0</v>
      </c>
      <c r="G115" s="7" t="n">
        <f aca="false">IF(AND(Ziele!$B$18="Plan bereit",41&lt;=Ziele!$B$5),ROUND(G114+J47,2),"")</f>
        <v>0</v>
      </c>
      <c r="H115" s="7" t="n">
        <f aca="false">IF(AND(Ziele!$B$18="Plan bereit",41&lt;=Ziele!$B$5),ROUND(SUM(B115:G115),2),"")</f>
        <v>40350</v>
      </c>
      <c r="I115" s="6" t="n">
        <f aca="false">IF(AND(AND(Ziele!$B$18="Plan bereit",41&lt;=Ziele!$B$5),Ziele!C10&gt;0,B115&gt;=Ziele!C10),41,"")</f>
        <v>41</v>
      </c>
      <c r="J115" s="6" t="str">
        <f aca="false">IF(AND(AND(Ziele!$B$18="Plan bereit",41&lt;=Ziele!$B$5),Ziele!C11&gt;0,C115&gt;=Ziele!C11),41,"")</f>
        <v/>
      </c>
      <c r="K115" s="6" t="str">
        <f aca="false">IF(AND(AND(Ziele!$B$18="Plan bereit",41&lt;=Ziele!$B$5),Ziele!C12&gt;0,D115&gt;=Ziele!C12),41,"")</f>
        <v/>
      </c>
      <c r="L115" s="6" t="str">
        <f aca="false">IF(AND(AND(Ziele!$B$18="Plan bereit",41&lt;=Ziele!$B$5),Ziele!C13&gt;0,E115&gt;=Ziele!C13),41,"")</f>
        <v/>
      </c>
      <c r="M115" s="6" t="str">
        <f aca="false">IF(AND(AND(Ziele!$B$18="Plan bereit",41&lt;=Ziele!$B$5),Ziele!C14&gt;0,F115&gt;=Ziele!C14),41,"")</f>
        <v/>
      </c>
      <c r="N115" s="6" t="str">
        <f aca="false">IF(AND(AND(Ziele!$B$18="Plan bereit",41&lt;=Ziele!$B$5),Ziele!C15&gt;0,G115&gt;=Ziele!C15),41,"")</f>
        <v/>
      </c>
    </row>
    <row r="116" customFormat="false" ht="22.5" hidden="false" customHeight="true" outlineLevel="0" collapsed="false">
      <c r="A116" s="6" t="n">
        <f aca="false">IF(AND(Ziele!$B$18="Plan bereit",42&lt;=Ziele!$B$5),42,"")</f>
        <v>42</v>
      </c>
      <c r="B116" s="7" t="n">
        <f aca="false">IF(AND(Ziele!$B$18="Plan bereit",42&lt;=Ziele!$B$5),ROUND(B115+E48,2),"")</f>
        <v>10000</v>
      </c>
      <c r="C116" s="7" t="n">
        <f aca="false">IF(AND(Ziele!$B$18="Plan bereit",42&lt;=Ziele!$B$5),ROUND(C115+F48,2),"")</f>
        <v>30700</v>
      </c>
      <c r="D116" s="7" t="n">
        <f aca="false">IF(AND(Ziele!$B$18="Plan bereit",42&lt;=Ziele!$B$5),ROUND(D115+G48,2),"")</f>
        <v>0</v>
      </c>
      <c r="E116" s="7" t="n">
        <f aca="false">IF(AND(Ziele!$B$18="Plan bereit",42&lt;=Ziele!$B$5),ROUND(E115+H48,2),"")</f>
        <v>0</v>
      </c>
      <c r="F116" s="7" t="n">
        <f aca="false">IF(AND(Ziele!$B$18="Plan bereit",42&lt;=Ziele!$B$5),ROUND(F115+I48,2),"")</f>
        <v>0</v>
      </c>
      <c r="G116" s="7" t="n">
        <f aca="false">IF(AND(Ziele!$B$18="Plan bereit",42&lt;=Ziele!$B$5),ROUND(G115+J48,2),"")</f>
        <v>0</v>
      </c>
      <c r="H116" s="7" t="n">
        <f aca="false">IF(AND(Ziele!$B$18="Plan bereit",42&lt;=Ziele!$B$5),ROUND(SUM(B116:G116),2),"")</f>
        <v>40700</v>
      </c>
      <c r="I116" s="6" t="n">
        <f aca="false">IF(AND(AND(Ziele!$B$18="Plan bereit",42&lt;=Ziele!$B$5),Ziele!C10&gt;0,B116&gt;=Ziele!C10),42,"")</f>
        <v>42</v>
      </c>
      <c r="J116" s="6" t="str">
        <f aca="false">IF(AND(AND(Ziele!$B$18="Plan bereit",42&lt;=Ziele!$B$5),Ziele!C11&gt;0,C116&gt;=Ziele!C11),42,"")</f>
        <v/>
      </c>
      <c r="K116" s="6" t="str">
        <f aca="false">IF(AND(AND(Ziele!$B$18="Plan bereit",42&lt;=Ziele!$B$5),Ziele!C12&gt;0,D116&gt;=Ziele!C12),42,"")</f>
        <v/>
      </c>
      <c r="L116" s="6" t="str">
        <f aca="false">IF(AND(AND(Ziele!$B$18="Plan bereit",42&lt;=Ziele!$B$5),Ziele!C13&gt;0,E116&gt;=Ziele!C13),42,"")</f>
        <v/>
      </c>
      <c r="M116" s="6" t="str">
        <f aca="false">IF(AND(AND(Ziele!$B$18="Plan bereit",42&lt;=Ziele!$B$5),Ziele!C14&gt;0,F116&gt;=Ziele!C14),42,"")</f>
        <v/>
      </c>
      <c r="N116" s="6" t="str">
        <f aca="false">IF(AND(AND(Ziele!$B$18="Plan bereit",42&lt;=Ziele!$B$5),Ziele!C15&gt;0,G116&gt;=Ziele!C15),42,"")</f>
        <v/>
      </c>
    </row>
    <row r="117" customFormat="false" ht="22.5" hidden="false" customHeight="true" outlineLevel="0" collapsed="false">
      <c r="A117" s="6" t="n">
        <f aca="false">IF(AND(Ziele!$B$18="Plan bereit",43&lt;=Ziele!$B$5),43,"")</f>
        <v>43</v>
      </c>
      <c r="B117" s="7" t="n">
        <f aca="false">IF(AND(Ziele!$B$18="Plan bereit",43&lt;=Ziele!$B$5),ROUND(B116+E49,2),"")</f>
        <v>10000</v>
      </c>
      <c r="C117" s="7" t="n">
        <f aca="false">IF(AND(Ziele!$B$18="Plan bereit",43&lt;=Ziele!$B$5),ROUND(C116+F49,2),"")</f>
        <v>31050</v>
      </c>
      <c r="D117" s="7" t="n">
        <f aca="false">IF(AND(Ziele!$B$18="Plan bereit",43&lt;=Ziele!$B$5),ROUND(D116+G49,2),"")</f>
        <v>0</v>
      </c>
      <c r="E117" s="7" t="n">
        <f aca="false">IF(AND(Ziele!$B$18="Plan bereit",43&lt;=Ziele!$B$5),ROUND(E116+H49,2),"")</f>
        <v>0</v>
      </c>
      <c r="F117" s="7" t="n">
        <f aca="false">IF(AND(Ziele!$B$18="Plan bereit",43&lt;=Ziele!$B$5),ROUND(F116+I49,2),"")</f>
        <v>0</v>
      </c>
      <c r="G117" s="7" t="n">
        <f aca="false">IF(AND(Ziele!$B$18="Plan bereit",43&lt;=Ziele!$B$5),ROUND(G116+J49,2),"")</f>
        <v>0</v>
      </c>
      <c r="H117" s="7" t="n">
        <f aca="false">IF(AND(Ziele!$B$18="Plan bereit",43&lt;=Ziele!$B$5),ROUND(SUM(B117:G117),2),"")</f>
        <v>41050</v>
      </c>
      <c r="I117" s="6" t="n">
        <f aca="false">IF(AND(AND(Ziele!$B$18="Plan bereit",43&lt;=Ziele!$B$5),Ziele!C10&gt;0,B117&gt;=Ziele!C10),43,"")</f>
        <v>43</v>
      </c>
      <c r="J117" s="6" t="str">
        <f aca="false">IF(AND(AND(Ziele!$B$18="Plan bereit",43&lt;=Ziele!$B$5),Ziele!C11&gt;0,C117&gt;=Ziele!C11),43,"")</f>
        <v/>
      </c>
      <c r="K117" s="6" t="str">
        <f aca="false">IF(AND(AND(Ziele!$B$18="Plan bereit",43&lt;=Ziele!$B$5),Ziele!C12&gt;0,D117&gt;=Ziele!C12),43,"")</f>
        <v/>
      </c>
      <c r="L117" s="6" t="str">
        <f aca="false">IF(AND(AND(Ziele!$B$18="Plan bereit",43&lt;=Ziele!$B$5),Ziele!C13&gt;0,E117&gt;=Ziele!C13),43,"")</f>
        <v/>
      </c>
      <c r="M117" s="6" t="str">
        <f aca="false">IF(AND(AND(Ziele!$B$18="Plan bereit",43&lt;=Ziele!$B$5),Ziele!C14&gt;0,F117&gt;=Ziele!C14),43,"")</f>
        <v/>
      </c>
      <c r="N117" s="6" t="str">
        <f aca="false">IF(AND(AND(Ziele!$B$18="Plan bereit",43&lt;=Ziele!$B$5),Ziele!C15&gt;0,G117&gt;=Ziele!C15),43,"")</f>
        <v/>
      </c>
    </row>
    <row r="118" customFormat="false" ht="22.5" hidden="false" customHeight="true" outlineLevel="0" collapsed="false">
      <c r="A118" s="6" t="n">
        <f aca="false">IF(AND(Ziele!$B$18="Plan bereit",44&lt;=Ziele!$B$5),44,"")</f>
        <v>44</v>
      </c>
      <c r="B118" s="7" t="n">
        <f aca="false">IF(AND(Ziele!$B$18="Plan bereit",44&lt;=Ziele!$B$5),ROUND(B117+E50,2),"")</f>
        <v>10000</v>
      </c>
      <c r="C118" s="7" t="n">
        <f aca="false">IF(AND(Ziele!$B$18="Plan bereit",44&lt;=Ziele!$B$5),ROUND(C117+F50,2),"")</f>
        <v>31400</v>
      </c>
      <c r="D118" s="7" t="n">
        <f aca="false">IF(AND(Ziele!$B$18="Plan bereit",44&lt;=Ziele!$B$5),ROUND(D117+G50,2),"")</f>
        <v>0</v>
      </c>
      <c r="E118" s="7" t="n">
        <f aca="false">IF(AND(Ziele!$B$18="Plan bereit",44&lt;=Ziele!$B$5),ROUND(E117+H50,2),"")</f>
        <v>0</v>
      </c>
      <c r="F118" s="7" t="n">
        <f aca="false">IF(AND(Ziele!$B$18="Plan bereit",44&lt;=Ziele!$B$5),ROUND(F117+I50,2),"")</f>
        <v>0</v>
      </c>
      <c r="G118" s="7" t="n">
        <f aca="false">IF(AND(Ziele!$B$18="Plan bereit",44&lt;=Ziele!$B$5),ROUND(G117+J50,2),"")</f>
        <v>0</v>
      </c>
      <c r="H118" s="7" t="n">
        <f aca="false">IF(AND(Ziele!$B$18="Plan bereit",44&lt;=Ziele!$B$5),ROUND(SUM(B118:G118),2),"")</f>
        <v>41400</v>
      </c>
      <c r="I118" s="6" t="n">
        <f aca="false">IF(AND(AND(Ziele!$B$18="Plan bereit",44&lt;=Ziele!$B$5),Ziele!C10&gt;0,B118&gt;=Ziele!C10),44,"")</f>
        <v>44</v>
      </c>
      <c r="J118" s="6" t="str">
        <f aca="false">IF(AND(AND(Ziele!$B$18="Plan bereit",44&lt;=Ziele!$B$5),Ziele!C11&gt;0,C118&gt;=Ziele!C11),44,"")</f>
        <v/>
      </c>
      <c r="K118" s="6" t="str">
        <f aca="false">IF(AND(AND(Ziele!$B$18="Plan bereit",44&lt;=Ziele!$B$5),Ziele!C12&gt;0,D118&gt;=Ziele!C12),44,"")</f>
        <v/>
      </c>
      <c r="L118" s="6" t="str">
        <f aca="false">IF(AND(AND(Ziele!$B$18="Plan bereit",44&lt;=Ziele!$B$5),Ziele!C13&gt;0,E118&gt;=Ziele!C13),44,"")</f>
        <v/>
      </c>
      <c r="M118" s="6" t="str">
        <f aca="false">IF(AND(AND(Ziele!$B$18="Plan bereit",44&lt;=Ziele!$B$5),Ziele!C14&gt;0,F118&gt;=Ziele!C14),44,"")</f>
        <v/>
      </c>
      <c r="N118" s="6" t="str">
        <f aca="false">IF(AND(AND(Ziele!$B$18="Plan bereit",44&lt;=Ziele!$B$5),Ziele!C15&gt;0,G118&gt;=Ziele!C15),44,"")</f>
        <v/>
      </c>
    </row>
    <row r="119" customFormat="false" ht="22.5" hidden="false" customHeight="true" outlineLevel="0" collapsed="false">
      <c r="A119" s="6" t="n">
        <f aca="false">IF(AND(Ziele!$B$18="Plan bereit",45&lt;=Ziele!$B$5),45,"")</f>
        <v>45</v>
      </c>
      <c r="B119" s="7" t="n">
        <f aca="false">IF(AND(Ziele!$B$18="Plan bereit",45&lt;=Ziele!$B$5),ROUND(B118+E51,2),"")</f>
        <v>10000</v>
      </c>
      <c r="C119" s="7" t="n">
        <f aca="false">IF(AND(Ziele!$B$18="Plan bereit",45&lt;=Ziele!$B$5),ROUND(C118+F51,2),"")</f>
        <v>31750</v>
      </c>
      <c r="D119" s="7" t="n">
        <f aca="false">IF(AND(Ziele!$B$18="Plan bereit",45&lt;=Ziele!$B$5),ROUND(D118+G51,2),"")</f>
        <v>0</v>
      </c>
      <c r="E119" s="7" t="n">
        <f aca="false">IF(AND(Ziele!$B$18="Plan bereit",45&lt;=Ziele!$B$5),ROUND(E118+H51,2),"")</f>
        <v>0</v>
      </c>
      <c r="F119" s="7" t="n">
        <f aca="false">IF(AND(Ziele!$B$18="Plan bereit",45&lt;=Ziele!$B$5),ROUND(F118+I51,2),"")</f>
        <v>0</v>
      </c>
      <c r="G119" s="7" t="n">
        <f aca="false">IF(AND(Ziele!$B$18="Plan bereit",45&lt;=Ziele!$B$5),ROUND(G118+J51,2),"")</f>
        <v>0</v>
      </c>
      <c r="H119" s="7" t="n">
        <f aca="false">IF(AND(Ziele!$B$18="Plan bereit",45&lt;=Ziele!$B$5),ROUND(SUM(B119:G119),2),"")</f>
        <v>41750</v>
      </c>
      <c r="I119" s="6" t="n">
        <f aca="false">IF(AND(AND(Ziele!$B$18="Plan bereit",45&lt;=Ziele!$B$5),Ziele!C10&gt;0,B119&gt;=Ziele!C10),45,"")</f>
        <v>45</v>
      </c>
      <c r="J119" s="6" t="str">
        <f aca="false">IF(AND(AND(Ziele!$B$18="Plan bereit",45&lt;=Ziele!$B$5),Ziele!C11&gt;0,C119&gt;=Ziele!C11),45,"")</f>
        <v/>
      </c>
      <c r="K119" s="6" t="str">
        <f aca="false">IF(AND(AND(Ziele!$B$18="Plan bereit",45&lt;=Ziele!$B$5),Ziele!C12&gt;0,D119&gt;=Ziele!C12),45,"")</f>
        <v/>
      </c>
      <c r="L119" s="6" t="str">
        <f aca="false">IF(AND(AND(Ziele!$B$18="Plan bereit",45&lt;=Ziele!$B$5),Ziele!C13&gt;0,E119&gt;=Ziele!C13),45,"")</f>
        <v/>
      </c>
      <c r="M119" s="6" t="str">
        <f aca="false">IF(AND(AND(Ziele!$B$18="Plan bereit",45&lt;=Ziele!$B$5),Ziele!C14&gt;0,F119&gt;=Ziele!C14),45,"")</f>
        <v/>
      </c>
      <c r="N119" s="6" t="str">
        <f aca="false">IF(AND(AND(Ziele!$B$18="Plan bereit",45&lt;=Ziele!$B$5),Ziele!C15&gt;0,G119&gt;=Ziele!C15),45,"")</f>
        <v/>
      </c>
    </row>
    <row r="120" customFormat="false" ht="22.5" hidden="false" customHeight="true" outlineLevel="0" collapsed="false">
      <c r="A120" s="6" t="n">
        <f aca="false">IF(AND(Ziele!$B$18="Plan bereit",46&lt;=Ziele!$B$5),46,"")</f>
        <v>46</v>
      </c>
      <c r="B120" s="7" t="n">
        <f aca="false">IF(AND(Ziele!$B$18="Plan bereit",46&lt;=Ziele!$B$5),ROUND(B119+E52,2),"")</f>
        <v>10000</v>
      </c>
      <c r="C120" s="7" t="n">
        <f aca="false">IF(AND(Ziele!$B$18="Plan bereit",46&lt;=Ziele!$B$5),ROUND(C119+F52,2),"")</f>
        <v>32100</v>
      </c>
      <c r="D120" s="7" t="n">
        <f aca="false">IF(AND(Ziele!$B$18="Plan bereit",46&lt;=Ziele!$B$5),ROUND(D119+G52,2),"")</f>
        <v>0</v>
      </c>
      <c r="E120" s="7" t="n">
        <f aca="false">IF(AND(Ziele!$B$18="Plan bereit",46&lt;=Ziele!$B$5),ROUND(E119+H52,2),"")</f>
        <v>0</v>
      </c>
      <c r="F120" s="7" t="n">
        <f aca="false">IF(AND(Ziele!$B$18="Plan bereit",46&lt;=Ziele!$B$5),ROUND(F119+I52,2),"")</f>
        <v>0</v>
      </c>
      <c r="G120" s="7" t="n">
        <f aca="false">IF(AND(Ziele!$B$18="Plan bereit",46&lt;=Ziele!$B$5),ROUND(G119+J52,2),"")</f>
        <v>0</v>
      </c>
      <c r="H120" s="7" t="n">
        <f aca="false">IF(AND(Ziele!$B$18="Plan bereit",46&lt;=Ziele!$B$5),ROUND(SUM(B120:G120),2),"")</f>
        <v>42100</v>
      </c>
      <c r="I120" s="6" t="n">
        <f aca="false">IF(AND(AND(Ziele!$B$18="Plan bereit",46&lt;=Ziele!$B$5),Ziele!C10&gt;0,B120&gt;=Ziele!C10),46,"")</f>
        <v>46</v>
      </c>
      <c r="J120" s="6" t="str">
        <f aca="false">IF(AND(AND(Ziele!$B$18="Plan bereit",46&lt;=Ziele!$B$5),Ziele!C11&gt;0,C120&gt;=Ziele!C11),46,"")</f>
        <v/>
      </c>
      <c r="K120" s="6" t="str">
        <f aca="false">IF(AND(AND(Ziele!$B$18="Plan bereit",46&lt;=Ziele!$B$5),Ziele!C12&gt;0,D120&gt;=Ziele!C12),46,"")</f>
        <v/>
      </c>
      <c r="L120" s="6" t="str">
        <f aca="false">IF(AND(AND(Ziele!$B$18="Plan bereit",46&lt;=Ziele!$B$5),Ziele!C13&gt;0,E120&gt;=Ziele!C13),46,"")</f>
        <v/>
      </c>
      <c r="M120" s="6" t="str">
        <f aca="false">IF(AND(AND(Ziele!$B$18="Plan bereit",46&lt;=Ziele!$B$5),Ziele!C14&gt;0,F120&gt;=Ziele!C14),46,"")</f>
        <v/>
      </c>
      <c r="N120" s="6" t="str">
        <f aca="false">IF(AND(AND(Ziele!$B$18="Plan bereit",46&lt;=Ziele!$B$5),Ziele!C15&gt;0,G120&gt;=Ziele!C15),46,"")</f>
        <v/>
      </c>
    </row>
    <row r="121" customFormat="false" ht="22.5" hidden="false" customHeight="true" outlineLevel="0" collapsed="false">
      <c r="A121" s="6" t="n">
        <f aca="false">IF(AND(Ziele!$B$18="Plan bereit",47&lt;=Ziele!$B$5),47,"")</f>
        <v>47</v>
      </c>
      <c r="B121" s="7" t="n">
        <f aca="false">IF(AND(Ziele!$B$18="Plan bereit",47&lt;=Ziele!$B$5),ROUND(B120+E53,2),"")</f>
        <v>10000</v>
      </c>
      <c r="C121" s="7" t="n">
        <f aca="false">IF(AND(Ziele!$B$18="Plan bereit",47&lt;=Ziele!$B$5),ROUND(C120+F53,2),"")</f>
        <v>32450</v>
      </c>
      <c r="D121" s="7" t="n">
        <f aca="false">IF(AND(Ziele!$B$18="Plan bereit",47&lt;=Ziele!$B$5),ROUND(D120+G53,2),"")</f>
        <v>0</v>
      </c>
      <c r="E121" s="7" t="n">
        <f aca="false">IF(AND(Ziele!$B$18="Plan bereit",47&lt;=Ziele!$B$5),ROUND(E120+H53,2),"")</f>
        <v>0</v>
      </c>
      <c r="F121" s="7" t="n">
        <f aca="false">IF(AND(Ziele!$B$18="Plan bereit",47&lt;=Ziele!$B$5),ROUND(F120+I53,2),"")</f>
        <v>0</v>
      </c>
      <c r="G121" s="7" t="n">
        <f aca="false">IF(AND(Ziele!$B$18="Plan bereit",47&lt;=Ziele!$B$5),ROUND(G120+J53,2),"")</f>
        <v>0</v>
      </c>
      <c r="H121" s="7" t="n">
        <f aca="false">IF(AND(Ziele!$B$18="Plan bereit",47&lt;=Ziele!$B$5),ROUND(SUM(B121:G121),2),"")</f>
        <v>42450</v>
      </c>
      <c r="I121" s="6" t="n">
        <f aca="false">IF(AND(AND(Ziele!$B$18="Plan bereit",47&lt;=Ziele!$B$5),Ziele!C10&gt;0,B121&gt;=Ziele!C10),47,"")</f>
        <v>47</v>
      </c>
      <c r="J121" s="6" t="str">
        <f aca="false">IF(AND(AND(Ziele!$B$18="Plan bereit",47&lt;=Ziele!$B$5),Ziele!C11&gt;0,C121&gt;=Ziele!C11),47,"")</f>
        <v/>
      </c>
      <c r="K121" s="6" t="str">
        <f aca="false">IF(AND(AND(Ziele!$B$18="Plan bereit",47&lt;=Ziele!$B$5),Ziele!C12&gt;0,D121&gt;=Ziele!C12),47,"")</f>
        <v/>
      </c>
      <c r="L121" s="6" t="str">
        <f aca="false">IF(AND(AND(Ziele!$B$18="Plan bereit",47&lt;=Ziele!$B$5),Ziele!C13&gt;0,E121&gt;=Ziele!C13),47,"")</f>
        <v/>
      </c>
      <c r="M121" s="6" t="str">
        <f aca="false">IF(AND(AND(Ziele!$B$18="Plan bereit",47&lt;=Ziele!$B$5),Ziele!C14&gt;0,F121&gt;=Ziele!C14),47,"")</f>
        <v/>
      </c>
      <c r="N121" s="6" t="str">
        <f aca="false">IF(AND(AND(Ziele!$B$18="Plan bereit",47&lt;=Ziele!$B$5),Ziele!C15&gt;0,G121&gt;=Ziele!C15),47,"")</f>
        <v/>
      </c>
    </row>
    <row r="122" customFormat="false" ht="22.5" hidden="false" customHeight="true" outlineLevel="0" collapsed="false">
      <c r="A122" s="6" t="n">
        <f aca="false">IF(AND(Ziele!$B$18="Plan bereit",48&lt;=Ziele!$B$5),48,"")</f>
        <v>48</v>
      </c>
      <c r="B122" s="7" t="n">
        <f aca="false">IF(AND(Ziele!$B$18="Plan bereit",48&lt;=Ziele!$B$5),ROUND(B121+E54,2),"")</f>
        <v>10000</v>
      </c>
      <c r="C122" s="7" t="n">
        <f aca="false">IF(AND(Ziele!$B$18="Plan bereit",48&lt;=Ziele!$B$5),ROUND(C121+F54,2),"")</f>
        <v>32800</v>
      </c>
      <c r="D122" s="7" t="n">
        <f aca="false">IF(AND(Ziele!$B$18="Plan bereit",48&lt;=Ziele!$B$5),ROUND(D121+G54,2),"")</f>
        <v>0</v>
      </c>
      <c r="E122" s="7" t="n">
        <f aca="false">IF(AND(Ziele!$B$18="Plan bereit",48&lt;=Ziele!$B$5),ROUND(E121+H54,2),"")</f>
        <v>0</v>
      </c>
      <c r="F122" s="7" t="n">
        <f aca="false">IF(AND(Ziele!$B$18="Plan bereit",48&lt;=Ziele!$B$5),ROUND(F121+I54,2),"")</f>
        <v>0</v>
      </c>
      <c r="G122" s="7" t="n">
        <f aca="false">IF(AND(Ziele!$B$18="Plan bereit",48&lt;=Ziele!$B$5),ROUND(G121+J54,2),"")</f>
        <v>0</v>
      </c>
      <c r="H122" s="7" t="n">
        <f aca="false">IF(AND(Ziele!$B$18="Plan bereit",48&lt;=Ziele!$B$5),ROUND(SUM(B122:G122),2),"")</f>
        <v>42800</v>
      </c>
      <c r="I122" s="6" t="n">
        <f aca="false">IF(AND(AND(Ziele!$B$18="Plan bereit",48&lt;=Ziele!$B$5),Ziele!C10&gt;0,B122&gt;=Ziele!C10),48,"")</f>
        <v>48</v>
      </c>
      <c r="J122" s="6" t="str">
        <f aca="false">IF(AND(AND(Ziele!$B$18="Plan bereit",48&lt;=Ziele!$B$5),Ziele!C11&gt;0,C122&gt;=Ziele!C11),48,"")</f>
        <v/>
      </c>
      <c r="K122" s="6" t="str">
        <f aca="false">IF(AND(AND(Ziele!$B$18="Plan bereit",48&lt;=Ziele!$B$5),Ziele!C12&gt;0,D122&gt;=Ziele!C12),48,"")</f>
        <v/>
      </c>
      <c r="L122" s="6" t="str">
        <f aca="false">IF(AND(AND(Ziele!$B$18="Plan bereit",48&lt;=Ziele!$B$5),Ziele!C13&gt;0,E122&gt;=Ziele!C13),48,"")</f>
        <v/>
      </c>
      <c r="M122" s="6" t="str">
        <f aca="false">IF(AND(AND(Ziele!$B$18="Plan bereit",48&lt;=Ziele!$B$5),Ziele!C14&gt;0,F122&gt;=Ziele!C14),48,"")</f>
        <v/>
      </c>
      <c r="N122" s="6" t="str">
        <f aca="false">IF(AND(AND(Ziele!$B$18="Plan bereit",48&lt;=Ziele!$B$5),Ziele!C15&gt;0,G122&gt;=Ziele!C15),48,"")</f>
        <v/>
      </c>
    </row>
    <row r="123" customFormat="false" ht="22.5" hidden="false" customHeight="true" outlineLevel="0" collapsed="false">
      <c r="A123" s="6" t="str">
        <f aca="false">IF(AND(Ziele!$B$18="Plan bereit",49&lt;=Ziele!$B$5),49,"")</f>
        <v/>
      </c>
      <c r="B123" s="7" t="str">
        <f aca="false">IF(AND(Ziele!$B$18="Plan bereit",49&lt;=Ziele!$B$5),ROUND(B122+E55,2),"")</f>
        <v/>
      </c>
      <c r="C123" s="7" t="str">
        <f aca="false">IF(AND(Ziele!$B$18="Plan bereit",49&lt;=Ziele!$B$5),ROUND(C122+F55,2),"")</f>
        <v/>
      </c>
      <c r="D123" s="7" t="str">
        <f aca="false">IF(AND(Ziele!$B$18="Plan bereit",49&lt;=Ziele!$B$5),ROUND(D122+G55,2),"")</f>
        <v/>
      </c>
      <c r="E123" s="7" t="str">
        <f aca="false">IF(AND(Ziele!$B$18="Plan bereit",49&lt;=Ziele!$B$5),ROUND(E122+H55,2),"")</f>
        <v/>
      </c>
      <c r="F123" s="7" t="str">
        <f aca="false">IF(AND(Ziele!$B$18="Plan bereit",49&lt;=Ziele!$B$5),ROUND(F122+I55,2),"")</f>
        <v/>
      </c>
      <c r="G123" s="7" t="str">
        <f aca="false">IF(AND(Ziele!$B$18="Plan bereit",49&lt;=Ziele!$B$5),ROUND(G122+J55,2),"")</f>
        <v/>
      </c>
      <c r="H123" s="7" t="str">
        <f aca="false">IF(AND(Ziele!$B$18="Plan bereit",49&lt;=Ziele!$B$5),ROUND(SUM(B123:G123),2),"")</f>
        <v/>
      </c>
      <c r="I123" s="6" t="str">
        <f aca="false">IF(AND(AND(Ziele!$B$18="Plan bereit",49&lt;=Ziele!$B$5),Ziele!C10&gt;0,B123&gt;=Ziele!C10),49,"")</f>
        <v/>
      </c>
      <c r="J123" s="6" t="str">
        <f aca="false">IF(AND(AND(Ziele!$B$18="Plan bereit",49&lt;=Ziele!$B$5),Ziele!C11&gt;0,C123&gt;=Ziele!C11),49,"")</f>
        <v/>
      </c>
      <c r="K123" s="6" t="str">
        <f aca="false">IF(AND(AND(Ziele!$B$18="Plan bereit",49&lt;=Ziele!$B$5),Ziele!C12&gt;0,D123&gt;=Ziele!C12),49,"")</f>
        <v/>
      </c>
      <c r="L123" s="6" t="str">
        <f aca="false">IF(AND(AND(Ziele!$B$18="Plan bereit",49&lt;=Ziele!$B$5),Ziele!C13&gt;0,E123&gt;=Ziele!C13),49,"")</f>
        <v/>
      </c>
      <c r="M123" s="6" t="str">
        <f aca="false">IF(AND(AND(Ziele!$B$18="Plan bereit",49&lt;=Ziele!$B$5),Ziele!C14&gt;0,F123&gt;=Ziele!C14),49,"")</f>
        <v/>
      </c>
      <c r="N123" s="6" t="str">
        <f aca="false">IF(AND(AND(Ziele!$B$18="Plan bereit",49&lt;=Ziele!$B$5),Ziele!C15&gt;0,G123&gt;=Ziele!C15),49,"")</f>
        <v/>
      </c>
    </row>
    <row r="124" customFormat="false" ht="22.5" hidden="false" customHeight="true" outlineLevel="0" collapsed="false">
      <c r="A124" s="6" t="str">
        <f aca="false">IF(AND(Ziele!$B$18="Plan bereit",50&lt;=Ziele!$B$5),50,"")</f>
        <v/>
      </c>
      <c r="B124" s="7" t="str">
        <f aca="false">IF(AND(Ziele!$B$18="Plan bereit",50&lt;=Ziele!$B$5),ROUND(B123+E56,2),"")</f>
        <v/>
      </c>
      <c r="C124" s="7" t="str">
        <f aca="false">IF(AND(Ziele!$B$18="Plan bereit",50&lt;=Ziele!$B$5),ROUND(C123+F56,2),"")</f>
        <v/>
      </c>
      <c r="D124" s="7" t="str">
        <f aca="false">IF(AND(Ziele!$B$18="Plan bereit",50&lt;=Ziele!$B$5),ROUND(D123+G56,2),"")</f>
        <v/>
      </c>
      <c r="E124" s="7" t="str">
        <f aca="false">IF(AND(Ziele!$B$18="Plan bereit",50&lt;=Ziele!$B$5),ROUND(E123+H56,2),"")</f>
        <v/>
      </c>
      <c r="F124" s="7" t="str">
        <f aca="false">IF(AND(Ziele!$B$18="Plan bereit",50&lt;=Ziele!$B$5),ROUND(F123+I56,2),"")</f>
        <v/>
      </c>
      <c r="G124" s="7" t="str">
        <f aca="false">IF(AND(Ziele!$B$18="Plan bereit",50&lt;=Ziele!$B$5),ROUND(G123+J56,2),"")</f>
        <v/>
      </c>
      <c r="H124" s="7" t="str">
        <f aca="false">IF(AND(Ziele!$B$18="Plan bereit",50&lt;=Ziele!$B$5),ROUND(SUM(B124:G124),2),"")</f>
        <v/>
      </c>
      <c r="I124" s="6" t="str">
        <f aca="false">IF(AND(AND(Ziele!$B$18="Plan bereit",50&lt;=Ziele!$B$5),Ziele!C10&gt;0,B124&gt;=Ziele!C10),50,"")</f>
        <v/>
      </c>
      <c r="J124" s="6" t="str">
        <f aca="false">IF(AND(AND(Ziele!$B$18="Plan bereit",50&lt;=Ziele!$B$5),Ziele!C11&gt;0,C124&gt;=Ziele!C11),50,"")</f>
        <v/>
      </c>
      <c r="K124" s="6" t="str">
        <f aca="false">IF(AND(AND(Ziele!$B$18="Plan bereit",50&lt;=Ziele!$B$5),Ziele!C12&gt;0,D124&gt;=Ziele!C12),50,"")</f>
        <v/>
      </c>
      <c r="L124" s="6" t="str">
        <f aca="false">IF(AND(AND(Ziele!$B$18="Plan bereit",50&lt;=Ziele!$B$5),Ziele!C13&gt;0,E124&gt;=Ziele!C13),50,"")</f>
        <v/>
      </c>
      <c r="M124" s="6" t="str">
        <f aca="false">IF(AND(AND(Ziele!$B$18="Plan bereit",50&lt;=Ziele!$B$5),Ziele!C14&gt;0,F124&gt;=Ziele!C14),50,"")</f>
        <v/>
      </c>
      <c r="N124" s="6" t="str">
        <f aca="false">IF(AND(AND(Ziele!$B$18="Plan bereit",50&lt;=Ziele!$B$5),Ziele!C15&gt;0,G124&gt;=Ziele!C15),50,"")</f>
        <v/>
      </c>
    </row>
    <row r="125" customFormat="false" ht="22.5" hidden="false" customHeight="true" outlineLevel="0" collapsed="false">
      <c r="A125" s="6" t="str">
        <f aca="false">IF(AND(Ziele!$B$18="Plan bereit",51&lt;=Ziele!$B$5),51,"")</f>
        <v/>
      </c>
      <c r="B125" s="7" t="str">
        <f aca="false">IF(AND(Ziele!$B$18="Plan bereit",51&lt;=Ziele!$B$5),ROUND(B124+E57,2),"")</f>
        <v/>
      </c>
      <c r="C125" s="7" t="str">
        <f aca="false">IF(AND(Ziele!$B$18="Plan bereit",51&lt;=Ziele!$B$5),ROUND(C124+F57,2),"")</f>
        <v/>
      </c>
      <c r="D125" s="7" t="str">
        <f aca="false">IF(AND(Ziele!$B$18="Plan bereit",51&lt;=Ziele!$B$5),ROUND(D124+G57,2),"")</f>
        <v/>
      </c>
      <c r="E125" s="7" t="str">
        <f aca="false">IF(AND(Ziele!$B$18="Plan bereit",51&lt;=Ziele!$B$5),ROUND(E124+H57,2),"")</f>
        <v/>
      </c>
      <c r="F125" s="7" t="str">
        <f aca="false">IF(AND(Ziele!$B$18="Plan bereit",51&lt;=Ziele!$B$5),ROUND(F124+I57,2),"")</f>
        <v/>
      </c>
      <c r="G125" s="7" t="str">
        <f aca="false">IF(AND(Ziele!$B$18="Plan bereit",51&lt;=Ziele!$B$5),ROUND(G124+J57,2),"")</f>
        <v/>
      </c>
      <c r="H125" s="7" t="str">
        <f aca="false">IF(AND(Ziele!$B$18="Plan bereit",51&lt;=Ziele!$B$5),ROUND(SUM(B125:G125),2),"")</f>
        <v/>
      </c>
      <c r="I125" s="6" t="str">
        <f aca="false">IF(AND(AND(Ziele!$B$18="Plan bereit",51&lt;=Ziele!$B$5),Ziele!C10&gt;0,B125&gt;=Ziele!C10),51,"")</f>
        <v/>
      </c>
      <c r="J125" s="6" t="str">
        <f aca="false">IF(AND(AND(Ziele!$B$18="Plan bereit",51&lt;=Ziele!$B$5),Ziele!C11&gt;0,C125&gt;=Ziele!C11),51,"")</f>
        <v/>
      </c>
      <c r="K125" s="6" t="str">
        <f aca="false">IF(AND(AND(Ziele!$B$18="Plan bereit",51&lt;=Ziele!$B$5),Ziele!C12&gt;0,D125&gt;=Ziele!C12),51,"")</f>
        <v/>
      </c>
      <c r="L125" s="6" t="str">
        <f aca="false">IF(AND(AND(Ziele!$B$18="Plan bereit",51&lt;=Ziele!$B$5),Ziele!C13&gt;0,E125&gt;=Ziele!C13),51,"")</f>
        <v/>
      </c>
      <c r="M125" s="6" t="str">
        <f aca="false">IF(AND(AND(Ziele!$B$18="Plan bereit",51&lt;=Ziele!$B$5),Ziele!C14&gt;0,F125&gt;=Ziele!C14),51,"")</f>
        <v/>
      </c>
      <c r="N125" s="6" t="str">
        <f aca="false">IF(AND(AND(Ziele!$B$18="Plan bereit",51&lt;=Ziele!$B$5),Ziele!C15&gt;0,G125&gt;=Ziele!C15),51,"")</f>
        <v/>
      </c>
    </row>
    <row r="126" customFormat="false" ht="22.5" hidden="false" customHeight="true" outlineLevel="0" collapsed="false">
      <c r="A126" s="6" t="str">
        <f aca="false">IF(AND(Ziele!$B$18="Plan bereit",52&lt;=Ziele!$B$5),52,"")</f>
        <v/>
      </c>
      <c r="B126" s="7" t="str">
        <f aca="false">IF(AND(Ziele!$B$18="Plan bereit",52&lt;=Ziele!$B$5),ROUND(B125+E58,2),"")</f>
        <v/>
      </c>
      <c r="C126" s="7" t="str">
        <f aca="false">IF(AND(Ziele!$B$18="Plan bereit",52&lt;=Ziele!$B$5),ROUND(C125+F58,2),"")</f>
        <v/>
      </c>
      <c r="D126" s="7" t="str">
        <f aca="false">IF(AND(Ziele!$B$18="Plan bereit",52&lt;=Ziele!$B$5),ROUND(D125+G58,2),"")</f>
        <v/>
      </c>
      <c r="E126" s="7" t="str">
        <f aca="false">IF(AND(Ziele!$B$18="Plan bereit",52&lt;=Ziele!$B$5),ROUND(E125+H58,2),"")</f>
        <v/>
      </c>
      <c r="F126" s="7" t="str">
        <f aca="false">IF(AND(Ziele!$B$18="Plan bereit",52&lt;=Ziele!$B$5),ROUND(F125+I58,2),"")</f>
        <v/>
      </c>
      <c r="G126" s="7" t="str">
        <f aca="false">IF(AND(Ziele!$B$18="Plan bereit",52&lt;=Ziele!$B$5),ROUND(G125+J58,2),"")</f>
        <v/>
      </c>
      <c r="H126" s="7" t="str">
        <f aca="false">IF(AND(Ziele!$B$18="Plan bereit",52&lt;=Ziele!$B$5),ROUND(SUM(B126:G126),2),"")</f>
        <v/>
      </c>
      <c r="I126" s="6" t="str">
        <f aca="false">IF(AND(AND(Ziele!$B$18="Plan bereit",52&lt;=Ziele!$B$5),Ziele!C10&gt;0,B126&gt;=Ziele!C10),52,"")</f>
        <v/>
      </c>
      <c r="J126" s="6" t="str">
        <f aca="false">IF(AND(AND(Ziele!$B$18="Plan bereit",52&lt;=Ziele!$B$5),Ziele!C11&gt;0,C126&gt;=Ziele!C11),52,"")</f>
        <v/>
      </c>
      <c r="K126" s="6" t="str">
        <f aca="false">IF(AND(AND(Ziele!$B$18="Plan bereit",52&lt;=Ziele!$B$5),Ziele!C12&gt;0,D126&gt;=Ziele!C12),52,"")</f>
        <v/>
      </c>
      <c r="L126" s="6" t="str">
        <f aca="false">IF(AND(AND(Ziele!$B$18="Plan bereit",52&lt;=Ziele!$B$5),Ziele!C13&gt;0,E126&gt;=Ziele!C13),52,"")</f>
        <v/>
      </c>
      <c r="M126" s="6" t="str">
        <f aca="false">IF(AND(AND(Ziele!$B$18="Plan bereit",52&lt;=Ziele!$B$5),Ziele!C14&gt;0,F126&gt;=Ziele!C14),52,"")</f>
        <v/>
      </c>
      <c r="N126" s="6" t="str">
        <f aca="false">IF(AND(AND(Ziele!$B$18="Plan bereit",52&lt;=Ziele!$B$5),Ziele!C15&gt;0,G126&gt;=Ziele!C15),52,"")</f>
        <v/>
      </c>
    </row>
    <row r="127" customFormat="false" ht="22.5" hidden="false" customHeight="true" outlineLevel="0" collapsed="false">
      <c r="A127" s="6" t="str">
        <f aca="false">IF(AND(Ziele!$B$18="Plan bereit",53&lt;=Ziele!$B$5),53,"")</f>
        <v/>
      </c>
      <c r="B127" s="7" t="str">
        <f aca="false">IF(AND(Ziele!$B$18="Plan bereit",53&lt;=Ziele!$B$5),ROUND(B126+E59,2),"")</f>
        <v/>
      </c>
      <c r="C127" s="7" t="str">
        <f aca="false">IF(AND(Ziele!$B$18="Plan bereit",53&lt;=Ziele!$B$5),ROUND(C126+F59,2),"")</f>
        <v/>
      </c>
      <c r="D127" s="7" t="str">
        <f aca="false">IF(AND(Ziele!$B$18="Plan bereit",53&lt;=Ziele!$B$5),ROUND(D126+G59,2),"")</f>
        <v/>
      </c>
      <c r="E127" s="7" t="str">
        <f aca="false">IF(AND(Ziele!$B$18="Plan bereit",53&lt;=Ziele!$B$5),ROUND(E126+H59,2),"")</f>
        <v/>
      </c>
      <c r="F127" s="7" t="str">
        <f aca="false">IF(AND(Ziele!$B$18="Plan bereit",53&lt;=Ziele!$B$5),ROUND(F126+I59,2),"")</f>
        <v/>
      </c>
      <c r="G127" s="7" t="str">
        <f aca="false">IF(AND(Ziele!$B$18="Plan bereit",53&lt;=Ziele!$B$5),ROUND(G126+J59,2),"")</f>
        <v/>
      </c>
      <c r="H127" s="7" t="str">
        <f aca="false">IF(AND(Ziele!$B$18="Plan bereit",53&lt;=Ziele!$B$5),ROUND(SUM(B127:G127),2),"")</f>
        <v/>
      </c>
      <c r="I127" s="6" t="str">
        <f aca="false">IF(AND(AND(Ziele!$B$18="Plan bereit",53&lt;=Ziele!$B$5),Ziele!C10&gt;0,B127&gt;=Ziele!C10),53,"")</f>
        <v/>
      </c>
      <c r="J127" s="6" t="str">
        <f aca="false">IF(AND(AND(Ziele!$B$18="Plan bereit",53&lt;=Ziele!$B$5),Ziele!C11&gt;0,C127&gt;=Ziele!C11),53,"")</f>
        <v/>
      </c>
      <c r="K127" s="6" t="str">
        <f aca="false">IF(AND(AND(Ziele!$B$18="Plan bereit",53&lt;=Ziele!$B$5),Ziele!C12&gt;0,D127&gt;=Ziele!C12),53,"")</f>
        <v/>
      </c>
      <c r="L127" s="6" t="str">
        <f aca="false">IF(AND(AND(Ziele!$B$18="Plan bereit",53&lt;=Ziele!$B$5),Ziele!C13&gt;0,E127&gt;=Ziele!C13),53,"")</f>
        <v/>
      </c>
      <c r="M127" s="6" t="str">
        <f aca="false">IF(AND(AND(Ziele!$B$18="Plan bereit",53&lt;=Ziele!$B$5),Ziele!C14&gt;0,F127&gt;=Ziele!C14),53,"")</f>
        <v/>
      </c>
      <c r="N127" s="6" t="str">
        <f aca="false">IF(AND(AND(Ziele!$B$18="Plan bereit",53&lt;=Ziele!$B$5),Ziele!C15&gt;0,G127&gt;=Ziele!C15),53,"")</f>
        <v/>
      </c>
    </row>
    <row r="128" customFormat="false" ht="22.5" hidden="false" customHeight="true" outlineLevel="0" collapsed="false">
      <c r="A128" s="6" t="str">
        <f aca="false">IF(AND(Ziele!$B$18="Plan bereit",54&lt;=Ziele!$B$5),54,"")</f>
        <v/>
      </c>
      <c r="B128" s="7" t="str">
        <f aca="false">IF(AND(Ziele!$B$18="Plan bereit",54&lt;=Ziele!$B$5),ROUND(B127+E60,2),"")</f>
        <v/>
      </c>
      <c r="C128" s="7" t="str">
        <f aca="false">IF(AND(Ziele!$B$18="Plan bereit",54&lt;=Ziele!$B$5),ROUND(C127+F60,2),"")</f>
        <v/>
      </c>
      <c r="D128" s="7" t="str">
        <f aca="false">IF(AND(Ziele!$B$18="Plan bereit",54&lt;=Ziele!$B$5),ROUND(D127+G60,2),"")</f>
        <v/>
      </c>
      <c r="E128" s="7" t="str">
        <f aca="false">IF(AND(Ziele!$B$18="Plan bereit",54&lt;=Ziele!$B$5),ROUND(E127+H60,2),"")</f>
        <v/>
      </c>
      <c r="F128" s="7" t="str">
        <f aca="false">IF(AND(Ziele!$B$18="Plan bereit",54&lt;=Ziele!$B$5),ROUND(F127+I60,2),"")</f>
        <v/>
      </c>
      <c r="G128" s="7" t="str">
        <f aca="false">IF(AND(Ziele!$B$18="Plan bereit",54&lt;=Ziele!$B$5),ROUND(G127+J60,2),"")</f>
        <v/>
      </c>
      <c r="H128" s="7" t="str">
        <f aca="false">IF(AND(Ziele!$B$18="Plan bereit",54&lt;=Ziele!$B$5),ROUND(SUM(B128:G128),2),"")</f>
        <v/>
      </c>
      <c r="I128" s="6" t="str">
        <f aca="false">IF(AND(AND(Ziele!$B$18="Plan bereit",54&lt;=Ziele!$B$5),Ziele!C10&gt;0,B128&gt;=Ziele!C10),54,"")</f>
        <v/>
      </c>
      <c r="J128" s="6" t="str">
        <f aca="false">IF(AND(AND(Ziele!$B$18="Plan bereit",54&lt;=Ziele!$B$5),Ziele!C11&gt;0,C128&gt;=Ziele!C11),54,"")</f>
        <v/>
      </c>
      <c r="K128" s="6" t="str">
        <f aca="false">IF(AND(AND(Ziele!$B$18="Plan bereit",54&lt;=Ziele!$B$5),Ziele!C12&gt;0,D128&gt;=Ziele!C12),54,"")</f>
        <v/>
      </c>
      <c r="L128" s="6" t="str">
        <f aca="false">IF(AND(AND(Ziele!$B$18="Plan bereit",54&lt;=Ziele!$B$5),Ziele!C13&gt;0,E128&gt;=Ziele!C13),54,"")</f>
        <v/>
      </c>
      <c r="M128" s="6" t="str">
        <f aca="false">IF(AND(AND(Ziele!$B$18="Plan bereit",54&lt;=Ziele!$B$5),Ziele!C14&gt;0,F128&gt;=Ziele!C14),54,"")</f>
        <v/>
      </c>
      <c r="N128" s="6" t="str">
        <f aca="false">IF(AND(AND(Ziele!$B$18="Plan bereit",54&lt;=Ziele!$B$5),Ziele!C15&gt;0,G128&gt;=Ziele!C15),54,"")</f>
        <v/>
      </c>
    </row>
    <row r="129" customFormat="false" ht="22.5" hidden="false" customHeight="true" outlineLevel="0" collapsed="false">
      <c r="A129" s="6" t="str">
        <f aca="false">IF(AND(Ziele!$B$18="Plan bereit",55&lt;=Ziele!$B$5),55,"")</f>
        <v/>
      </c>
      <c r="B129" s="7" t="str">
        <f aca="false">IF(AND(Ziele!$B$18="Plan bereit",55&lt;=Ziele!$B$5),ROUND(B128+E61,2),"")</f>
        <v/>
      </c>
      <c r="C129" s="7" t="str">
        <f aca="false">IF(AND(Ziele!$B$18="Plan bereit",55&lt;=Ziele!$B$5),ROUND(C128+F61,2),"")</f>
        <v/>
      </c>
      <c r="D129" s="7" t="str">
        <f aca="false">IF(AND(Ziele!$B$18="Plan bereit",55&lt;=Ziele!$B$5),ROUND(D128+G61,2),"")</f>
        <v/>
      </c>
      <c r="E129" s="7" t="str">
        <f aca="false">IF(AND(Ziele!$B$18="Plan bereit",55&lt;=Ziele!$B$5),ROUND(E128+H61,2),"")</f>
        <v/>
      </c>
      <c r="F129" s="7" t="str">
        <f aca="false">IF(AND(Ziele!$B$18="Plan bereit",55&lt;=Ziele!$B$5),ROUND(F128+I61,2),"")</f>
        <v/>
      </c>
      <c r="G129" s="7" t="str">
        <f aca="false">IF(AND(Ziele!$B$18="Plan bereit",55&lt;=Ziele!$B$5),ROUND(G128+J61,2),"")</f>
        <v/>
      </c>
      <c r="H129" s="7" t="str">
        <f aca="false">IF(AND(Ziele!$B$18="Plan bereit",55&lt;=Ziele!$B$5),ROUND(SUM(B129:G129),2),"")</f>
        <v/>
      </c>
      <c r="I129" s="6" t="str">
        <f aca="false">IF(AND(AND(Ziele!$B$18="Plan bereit",55&lt;=Ziele!$B$5),Ziele!C10&gt;0,B129&gt;=Ziele!C10),55,"")</f>
        <v/>
      </c>
      <c r="J129" s="6" t="str">
        <f aca="false">IF(AND(AND(Ziele!$B$18="Plan bereit",55&lt;=Ziele!$B$5),Ziele!C11&gt;0,C129&gt;=Ziele!C11),55,"")</f>
        <v/>
      </c>
      <c r="K129" s="6" t="str">
        <f aca="false">IF(AND(AND(Ziele!$B$18="Plan bereit",55&lt;=Ziele!$B$5),Ziele!C12&gt;0,D129&gt;=Ziele!C12),55,"")</f>
        <v/>
      </c>
      <c r="L129" s="6" t="str">
        <f aca="false">IF(AND(AND(Ziele!$B$18="Plan bereit",55&lt;=Ziele!$B$5),Ziele!C13&gt;0,E129&gt;=Ziele!C13),55,"")</f>
        <v/>
      </c>
      <c r="M129" s="6" t="str">
        <f aca="false">IF(AND(AND(Ziele!$B$18="Plan bereit",55&lt;=Ziele!$B$5),Ziele!C14&gt;0,F129&gt;=Ziele!C14),55,"")</f>
        <v/>
      </c>
      <c r="N129" s="6" t="str">
        <f aca="false">IF(AND(AND(Ziele!$B$18="Plan bereit",55&lt;=Ziele!$B$5),Ziele!C15&gt;0,G129&gt;=Ziele!C15),55,"")</f>
        <v/>
      </c>
    </row>
    <row r="130" customFormat="false" ht="22.5" hidden="false" customHeight="true" outlineLevel="0" collapsed="false">
      <c r="A130" s="6" t="str">
        <f aca="false">IF(AND(Ziele!$B$18="Plan bereit",56&lt;=Ziele!$B$5),56,"")</f>
        <v/>
      </c>
      <c r="B130" s="7" t="str">
        <f aca="false">IF(AND(Ziele!$B$18="Plan bereit",56&lt;=Ziele!$B$5),ROUND(B129+E62,2),"")</f>
        <v/>
      </c>
      <c r="C130" s="7" t="str">
        <f aca="false">IF(AND(Ziele!$B$18="Plan bereit",56&lt;=Ziele!$B$5),ROUND(C129+F62,2),"")</f>
        <v/>
      </c>
      <c r="D130" s="7" t="str">
        <f aca="false">IF(AND(Ziele!$B$18="Plan bereit",56&lt;=Ziele!$B$5),ROUND(D129+G62,2),"")</f>
        <v/>
      </c>
      <c r="E130" s="7" t="str">
        <f aca="false">IF(AND(Ziele!$B$18="Plan bereit",56&lt;=Ziele!$B$5),ROUND(E129+H62,2),"")</f>
        <v/>
      </c>
      <c r="F130" s="7" t="str">
        <f aca="false">IF(AND(Ziele!$B$18="Plan bereit",56&lt;=Ziele!$B$5),ROUND(F129+I62,2),"")</f>
        <v/>
      </c>
      <c r="G130" s="7" t="str">
        <f aca="false">IF(AND(Ziele!$B$18="Plan bereit",56&lt;=Ziele!$B$5),ROUND(G129+J62,2),"")</f>
        <v/>
      </c>
      <c r="H130" s="7" t="str">
        <f aca="false">IF(AND(Ziele!$B$18="Plan bereit",56&lt;=Ziele!$B$5),ROUND(SUM(B130:G130),2),"")</f>
        <v/>
      </c>
      <c r="I130" s="6" t="str">
        <f aca="false">IF(AND(AND(Ziele!$B$18="Plan bereit",56&lt;=Ziele!$B$5),Ziele!C10&gt;0,B130&gt;=Ziele!C10),56,"")</f>
        <v/>
      </c>
      <c r="J130" s="6" t="str">
        <f aca="false">IF(AND(AND(Ziele!$B$18="Plan bereit",56&lt;=Ziele!$B$5),Ziele!C11&gt;0,C130&gt;=Ziele!C11),56,"")</f>
        <v/>
      </c>
      <c r="K130" s="6" t="str">
        <f aca="false">IF(AND(AND(Ziele!$B$18="Plan bereit",56&lt;=Ziele!$B$5),Ziele!C12&gt;0,D130&gt;=Ziele!C12),56,"")</f>
        <v/>
      </c>
      <c r="L130" s="6" t="str">
        <f aca="false">IF(AND(AND(Ziele!$B$18="Plan bereit",56&lt;=Ziele!$B$5),Ziele!C13&gt;0,E130&gt;=Ziele!C13),56,"")</f>
        <v/>
      </c>
      <c r="M130" s="6" t="str">
        <f aca="false">IF(AND(AND(Ziele!$B$18="Plan bereit",56&lt;=Ziele!$B$5),Ziele!C14&gt;0,F130&gt;=Ziele!C14),56,"")</f>
        <v/>
      </c>
      <c r="N130" s="6" t="str">
        <f aca="false">IF(AND(AND(Ziele!$B$18="Plan bereit",56&lt;=Ziele!$B$5),Ziele!C15&gt;0,G130&gt;=Ziele!C15),56,"")</f>
        <v/>
      </c>
    </row>
    <row r="131" customFormat="false" ht="22.5" hidden="false" customHeight="true" outlineLevel="0" collapsed="false">
      <c r="A131" s="6" t="str">
        <f aca="false">IF(AND(Ziele!$B$18="Plan bereit",57&lt;=Ziele!$B$5),57,"")</f>
        <v/>
      </c>
      <c r="B131" s="7" t="str">
        <f aca="false">IF(AND(Ziele!$B$18="Plan bereit",57&lt;=Ziele!$B$5),ROUND(B130+E63,2),"")</f>
        <v/>
      </c>
      <c r="C131" s="7" t="str">
        <f aca="false">IF(AND(Ziele!$B$18="Plan bereit",57&lt;=Ziele!$B$5),ROUND(C130+F63,2),"")</f>
        <v/>
      </c>
      <c r="D131" s="7" t="str">
        <f aca="false">IF(AND(Ziele!$B$18="Plan bereit",57&lt;=Ziele!$B$5),ROUND(D130+G63,2),"")</f>
        <v/>
      </c>
      <c r="E131" s="7" t="str">
        <f aca="false">IF(AND(Ziele!$B$18="Plan bereit",57&lt;=Ziele!$B$5),ROUND(E130+H63,2),"")</f>
        <v/>
      </c>
      <c r="F131" s="7" t="str">
        <f aca="false">IF(AND(Ziele!$B$18="Plan bereit",57&lt;=Ziele!$B$5),ROUND(F130+I63,2),"")</f>
        <v/>
      </c>
      <c r="G131" s="7" t="str">
        <f aca="false">IF(AND(Ziele!$B$18="Plan bereit",57&lt;=Ziele!$B$5),ROUND(G130+J63,2),"")</f>
        <v/>
      </c>
      <c r="H131" s="7" t="str">
        <f aca="false">IF(AND(Ziele!$B$18="Plan bereit",57&lt;=Ziele!$B$5),ROUND(SUM(B131:G131),2),"")</f>
        <v/>
      </c>
      <c r="I131" s="6" t="str">
        <f aca="false">IF(AND(AND(Ziele!$B$18="Plan bereit",57&lt;=Ziele!$B$5),Ziele!C10&gt;0,B131&gt;=Ziele!C10),57,"")</f>
        <v/>
      </c>
      <c r="J131" s="6" t="str">
        <f aca="false">IF(AND(AND(Ziele!$B$18="Plan bereit",57&lt;=Ziele!$B$5),Ziele!C11&gt;0,C131&gt;=Ziele!C11),57,"")</f>
        <v/>
      </c>
      <c r="K131" s="6" t="str">
        <f aca="false">IF(AND(AND(Ziele!$B$18="Plan bereit",57&lt;=Ziele!$B$5),Ziele!C12&gt;0,D131&gt;=Ziele!C12),57,"")</f>
        <v/>
      </c>
      <c r="L131" s="6" t="str">
        <f aca="false">IF(AND(AND(Ziele!$B$18="Plan bereit",57&lt;=Ziele!$B$5),Ziele!C13&gt;0,E131&gt;=Ziele!C13),57,"")</f>
        <v/>
      </c>
      <c r="M131" s="6" t="str">
        <f aca="false">IF(AND(AND(Ziele!$B$18="Plan bereit",57&lt;=Ziele!$B$5),Ziele!C14&gt;0,F131&gt;=Ziele!C14),57,"")</f>
        <v/>
      </c>
      <c r="N131" s="6" t="str">
        <f aca="false">IF(AND(AND(Ziele!$B$18="Plan bereit",57&lt;=Ziele!$B$5),Ziele!C15&gt;0,G131&gt;=Ziele!C15),57,"")</f>
        <v/>
      </c>
    </row>
    <row r="132" customFormat="false" ht="22.5" hidden="false" customHeight="true" outlineLevel="0" collapsed="false">
      <c r="A132" s="6" t="str">
        <f aca="false">IF(AND(Ziele!$B$18="Plan bereit",58&lt;=Ziele!$B$5),58,"")</f>
        <v/>
      </c>
      <c r="B132" s="7" t="str">
        <f aca="false">IF(AND(Ziele!$B$18="Plan bereit",58&lt;=Ziele!$B$5),ROUND(B131+E64,2),"")</f>
        <v/>
      </c>
      <c r="C132" s="7" t="str">
        <f aca="false">IF(AND(Ziele!$B$18="Plan bereit",58&lt;=Ziele!$B$5),ROUND(C131+F64,2),"")</f>
        <v/>
      </c>
      <c r="D132" s="7" t="str">
        <f aca="false">IF(AND(Ziele!$B$18="Plan bereit",58&lt;=Ziele!$B$5),ROUND(D131+G64,2),"")</f>
        <v/>
      </c>
      <c r="E132" s="7" t="str">
        <f aca="false">IF(AND(Ziele!$B$18="Plan bereit",58&lt;=Ziele!$B$5),ROUND(E131+H64,2),"")</f>
        <v/>
      </c>
      <c r="F132" s="7" t="str">
        <f aca="false">IF(AND(Ziele!$B$18="Plan bereit",58&lt;=Ziele!$B$5),ROUND(F131+I64,2),"")</f>
        <v/>
      </c>
      <c r="G132" s="7" t="str">
        <f aca="false">IF(AND(Ziele!$B$18="Plan bereit",58&lt;=Ziele!$B$5),ROUND(G131+J64,2),"")</f>
        <v/>
      </c>
      <c r="H132" s="7" t="str">
        <f aca="false">IF(AND(Ziele!$B$18="Plan bereit",58&lt;=Ziele!$B$5),ROUND(SUM(B132:G132),2),"")</f>
        <v/>
      </c>
      <c r="I132" s="6" t="str">
        <f aca="false">IF(AND(AND(Ziele!$B$18="Plan bereit",58&lt;=Ziele!$B$5),Ziele!C10&gt;0,B132&gt;=Ziele!C10),58,"")</f>
        <v/>
      </c>
      <c r="J132" s="6" t="str">
        <f aca="false">IF(AND(AND(Ziele!$B$18="Plan bereit",58&lt;=Ziele!$B$5),Ziele!C11&gt;0,C132&gt;=Ziele!C11),58,"")</f>
        <v/>
      </c>
      <c r="K132" s="6" t="str">
        <f aca="false">IF(AND(AND(Ziele!$B$18="Plan bereit",58&lt;=Ziele!$B$5),Ziele!C12&gt;0,D132&gt;=Ziele!C12),58,"")</f>
        <v/>
      </c>
      <c r="L132" s="6" t="str">
        <f aca="false">IF(AND(AND(Ziele!$B$18="Plan bereit",58&lt;=Ziele!$B$5),Ziele!C13&gt;0,E132&gt;=Ziele!C13),58,"")</f>
        <v/>
      </c>
      <c r="M132" s="6" t="str">
        <f aca="false">IF(AND(AND(Ziele!$B$18="Plan bereit",58&lt;=Ziele!$B$5),Ziele!C14&gt;0,F132&gt;=Ziele!C14),58,"")</f>
        <v/>
      </c>
      <c r="N132" s="6" t="str">
        <f aca="false">IF(AND(AND(Ziele!$B$18="Plan bereit",58&lt;=Ziele!$B$5),Ziele!C15&gt;0,G132&gt;=Ziele!C15),58,"")</f>
        <v/>
      </c>
    </row>
    <row r="133" customFormat="false" ht="22.5" hidden="false" customHeight="true" outlineLevel="0" collapsed="false">
      <c r="A133" s="6" t="str">
        <f aca="false">IF(AND(Ziele!$B$18="Plan bereit",59&lt;=Ziele!$B$5),59,"")</f>
        <v/>
      </c>
      <c r="B133" s="7" t="str">
        <f aca="false">IF(AND(Ziele!$B$18="Plan bereit",59&lt;=Ziele!$B$5),ROUND(B132+E65,2),"")</f>
        <v/>
      </c>
      <c r="C133" s="7" t="str">
        <f aca="false">IF(AND(Ziele!$B$18="Plan bereit",59&lt;=Ziele!$B$5),ROUND(C132+F65,2),"")</f>
        <v/>
      </c>
      <c r="D133" s="7" t="str">
        <f aca="false">IF(AND(Ziele!$B$18="Plan bereit",59&lt;=Ziele!$B$5),ROUND(D132+G65,2),"")</f>
        <v/>
      </c>
      <c r="E133" s="7" t="str">
        <f aca="false">IF(AND(Ziele!$B$18="Plan bereit",59&lt;=Ziele!$B$5),ROUND(E132+H65,2),"")</f>
        <v/>
      </c>
      <c r="F133" s="7" t="str">
        <f aca="false">IF(AND(Ziele!$B$18="Plan bereit",59&lt;=Ziele!$B$5),ROUND(F132+I65,2),"")</f>
        <v/>
      </c>
      <c r="G133" s="7" t="str">
        <f aca="false">IF(AND(Ziele!$B$18="Plan bereit",59&lt;=Ziele!$B$5),ROUND(G132+J65,2),"")</f>
        <v/>
      </c>
      <c r="H133" s="7" t="str">
        <f aca="false">IF(AND(Ziele!$B$18="Plan bereit",59&lt;=Ziele!$B$5),ROUND(SUM(B133:G133),2),"")</f>
        <v/>
      </c>
      <c r="I133" s="6" t="str">
        <f aca="false">IF(AND(AND(Ziele!$B$18="Plan bereit",59&lt;=Ziele!$B$5),Ziele!C10&gt;0,B133&gt;=Ziele!C10),59,"")</f>
        <v/>
      </c>
      <c r="J133" s="6" t="str">
        <f aca="false">IF(AND(AND(Ziele!$B$18="Plan bereit",59&lt;=Ziele!$B$5),Ziele!C11&gt;0,C133&gt;=Ziele!C11),59,"")</f>
        <v/>
      </c>
      <c r="K133" s="6" t="str">
        <f aca="false">IF(AND(AND(Ziele!$B$18="Plan bereit",59&lt;=Ziele!$B$5),Ziele!C12&gt;0,D133&gt;=Ziele!C12),59,"")</f>
        <v/>
      </c>
      <c r="L133" s="6" t="str">
        <f aca="false">IF(AND(AND(Ziele!$B$18="Plan bereit",59&lt;=Ziele!$B$5),Ziele!C13&gt;0,E133&gt;=Ziele!C13),59,"")</f>
        <v/>
      </c>
      <c r="M133" s="6" t="str">
        <f aca="false">IF(AND(AND(Ziele!$B$18="Plan bereit",59&lt;=Ziele!$B$5),Ziele!C14&gt;0,F133&gt;=Ziele!C14),59,"")</f>
        <v/>
      </c>
      <c r="N133" s="6" t="str">
        <f aca="false">IF(AND(AND(Ziele!$B$18="Plan bereit",59&lt;=Ziele!$B$5),Ziele!C15&gt;0,G133&gt;=Ziele!C15),59,"")</f>
        <v/>
      </c>
    </row>
    <row r="134" customFormat="false" ht="22.5" hidden="false" customHeight="true" outlineLevel="0" collapsed="false">
      <c r="A134" s="6" t="str">
        <f aca="false">IF(AND(Ziele!$B$18="Plan bereit",60&lt;=Ziele!$B$5),60,"")</f>
        <v/>
      </c>
      <c r="B134" s="7" t="str">
        <f aca="false">IF(AND(Ziele!$B$18="Plan bereit",60&lt;=Ziele!$B$5),ROUND(B133+E66,2),"")</f>
        <v/>
      </c>
      <c r="C134" s="7" t="str">
        <f aca="false">IF(AND(Ziele!$B$18="Plan bereit",60&lt;=Ziele!$B$5),ROUND(C133+F66,2),"")</f>
        <v/>
      </c>
      <c r="D134" s="7" t="str">
        <f aca="false">IF(AND(Ziele!$B$18="Plan bereit",60&lt;=Ziele!$B$5),ROUND(D133+G66,2),"")</f>
        <v/>
      </c>
      <c r="E134" s="7" t="str">
        <f aca="false">IF(AND(Ziele!$B$18="Plan bereit",60&lt;=Ziele!$B$5),ROUND(E133+H66,2),"")</f>
        <v/>
      </c>
      <c r="F134" s="7" t="str">
        <f aca="false">IF(AND(Ziele!$B$18="Plan bereit",60&lt;=Ziele!$B$5),ROUND(F133+I66,2),"")</f>
        <v/>
      </c>
      <c r="G134" s="7" t="str">
        <f aca="false">IF(AND(Ziele!$B$18="Plan bereit",60&lt;=Ziele!$B$5),ROUND(G133+J66,2),"")</f>
        <v/>
      </c>
      <c r="H134" s="7" t="str">
        <f aca="false">IF(AND(Ziele!$B$18="Plan bereit",60&lt;=Ziele!$B$5),ROUND(SUM(B134:G134),2),"")</f>
        <v/>
      </c>
      <c r="I134" s="6" t="str">
        <f aca="false">IF(AND(AND(Ziele!$B$18="Plan bereit",60&lt;=Ziele!$B$5),Ziele!C10&gt;0,B134&gt;=Ziele!C10),60,"")</f>
        <v/>
      </c>
      <c r="J134" s="6" t="str">
        <f aca="false">IF(AND(AND(Ziele!$B$18="Plan bereit",60&lt;=Ziele!$B$5),Ziele!C11&gt;0,C134&gt;=Ziele!C11),60,"")</f>
        <v/>
      </c>
      <c r="K134" s="6" t="str">
        <f aca="false">IF(AND(AND(Ziele!$B$18="Plan bereit",60&lt;=Ziele!$B$5),Ziele!C12&gt;0,D134&gt;=Ziele!C12),60,"")</f>
        <v/>
      </c>
      <c r="L134" s="6" t="str">
        <f aca="false">IF(AND(AND(Ziele!$B$18="Plan bereit",60&lt;=Ziele!$B$5),Ziele!C13&gt;0,E134&gt;=Ziele!C13),60,"")</f>
        <v/>
      </c>
      <c r="M134" s="6" t="str">
        <f aca="false">IF(AND(AND(Ziele!$B$18="Plan bereit",60&lt;=Ziele!$B$5),Ziele!C14&gt;0,F134&gt;=Ziele!C14),60,"")</f>
        <v/>
      </c>
      <c r="N134" s="6" t="str">
        <f aca="false">IF(AND(AND(Ziele!$B$18="Plan bereit",60&lt;=Ziele!$B$5),Ziele!C15&gt;0,G134&gt;=Ziele!C15),60,"")</f>
        <v/>
      </c>
    </row>
    <row r="200" ht="24" customHeight="true">
      <c r="A200" s="1" t="str">
        <f>"Druckbereich · Zuordnungen A · Teil 1/2"</f>
        <v>Druckbereich · Zuordnungen A · Teil 1/2</v>
      </c>
    </row>
    <row r="201" ht="36" customHeight="true">
      <c r="A201" s="2" t="str">
        <f>"Mein Plan: "&amp;Ziele!$B$5&amp;IF(Ziele!$B$5=1," Monat. "," Monate. ")&amp;"Ziele 1–3. Teil 2 zeigt Ziele 4–6, freien Rest und Kontrolle. Die unberechneten Zeilen bis Monat 60 bleiben leer."</f>
        <v>Mein Plan: 48 Monate. Ziele 1–3. Teil 2 zeigt Ziele 4–6, freien Rest und Kontrolle. Die unberechneten Zeilen bis Monat 60 bleiben leer.</v>
      </c>
    </row>
    <row r="202" ht="33.75" customHeight="true">
      <c r="A202" s="3" t="str">
        <f>A6</f>
        <v>Monat</v>
      </c>
      <c r="B202" s="3" t="str">
        <f>B6</f>
        <v>Sparbudget</v>
      </c>
      <c r="C202" s="3" t="str">
        <f>C6</f>
        <v>Weitere gezahlt</v>
      </c>
      <c r="D202" s="3" t="str">
        <f>D6</f>
        <v>Weitere ungedeckt</v>
      </c>
      <c r="E202" s="3" t="str">
        <f>E6</f>
        <v>Reserve</v>
      </c>
      <c r="F202" s="3" t="str">
        <f>F6</f>
        <v>Eigenkapital</v>
      </c>
      <c r="G202" s="3" t="str">
        <f>G6</f>
        <v>Ziel 3</v>
      </c>
    </row>
    <row r="203" ht="14" customHeight="true">
      <c r="A203" s="6" t="n">
        <f>IF(A7="","",A7)</f>
        <v>1</v>
      </c>
      <c r="B203" s="7" t="n">
        <f>IF(A7="","",B7)</f>
        <v>500</v>
      </c>
      <c r="C203" s="7" t="n">
        <f>IF(A7="","",C7)</f>
        <v>150</v>
      </c>
      <c r="D203" s="7" t="n">
        <f>IF(A7="","",D7)</f>
        <v>0</v>
      </c>
      <c r="E203" s="7" t="n">
        <f>IF(A7="","",E7)</f>
        <v>200</v>
      </c>
      <c r="F203" s="7" t="n">
        <f>IF(A7="","",F7)</f>
        <v>150</v>
      </c>
      <c r="G203" s="7" t="n">
        <f>IF(A7="","",G7)</f>
        <v>0</v>
      </c>
    </row>
    <row r="204" ht="14" customHeight="true">
      <c r="A204" s="6" t="n">
        <f>IF(A8="","",A8)</f>
        <v>2</v>
      </c>
      <c r="B204" s="7" t="n">
        <f>IF(A8="","",B8)</f>
        <v>500</v>
      </c>
      <c r="C204" s="7" t="n">
        <f>IF(A8="","",C8)</f>
        <v>150</v>
      </c>
      <c r="D204" s="7" t="n">
        <f>IF(A8="","",D8)</f>
        <v>0</v>
      </c>
      <c r="E204" s="7" t="n">
        <f>IF(A8="","",E8)</f>
        <v>200</v>
      </c>
      <c r="F204" s="7" t="n">
        <f>IF(A8="","",F8)</f>
        <v>150</v>
      </c>
      <c r="G204" s="7" t="n">
        <f>IF(A8="","",G8)</f>
        <v>0</v>
      </c>
    </row>
    <row r="205" ht="14" customHeight="true">
      <c r="A205" s="6" t="n">
        <f>IF(A9="","",A9)</f>
        <v>3</v>
      </c>
      <c r="B205" s="7" t="n">
        <f>IF(A9="","",B9)</f>
        <v>500</v>
      </c>
      <c r="C205" s="7" t="n">
        <f>IF(A9="","",C9)</f>
        <v>150</v>
      </c>
      <c r="D205" s="7" t="n">
        <f>IF(A9="","",D9)</f>
        <v>0</v>
      </c>
      <c r="E205" s="7" t="n">
        <f>IF(A9="","",E9)</f>
        <v>200</v>
      </c>
      <c r="F205" s="7" t="n">
        <f>IF(A9="","",F9)</f>
        <v>150</v>
      </c>
      <c r="G205" s="7" t="n">
        <f>IF(A9="","",G9)</f>
        <v>0</v>
      </c>
    </row>
    <row r="206" ht="14" customHeight="true">
      <c r="A206" s="6" t="n">
        <f>IF(A10="","",A10)</f>
        <v>4</v>
      </c>
      <c r="B206" s="7" t="n">
        <f>IF(A10="","",B10)</f>
        <v>500</v>
      </c>
      <c r="C206" s="7" t="n">
        <f>IF(A10="","",C10)</f>
        <v>150</v>
      </c>
      <c r="D206" s="7" t="n">
        <f>IF(A10="","",D10)</f>
        <v>0</v>
      </c>
      <c r="E206" s="7" t="n">
        <f>IF(A10="","",E10)</f>
        <v>200</v>
      </c>
      <c r="F206" s="7" t="n">
        <f>IF(A10="","",F10)</f>
        <v>150</v>
      </c>
      <c r="G206" s="7" t="n">
        <f>IF(A10="","",G10)</f>
        <v>0</v>
      </c>
    </row>
    <row r="207" ht="14" customHeight="true">
      <c r="A207" s="6" t="n">
        <f>IF(A11="","",A11)</f>
        <v>5</v>
      </c>
      <c r="B207" s="7" t="n">
        <f>IF(A11="","",B11)</f>
        <v>500</v>
      </c>
      <c r="C207" s="7" t="n">
        <f>IF(A11="","",C11)</f>
        <v>150</v>
      </c>
      <c r="D207" s="7" t="n">
        <f>IF(A11="","",D11)</f>
        <v>0</v>
      </c>
      <c r="E207" s="7" t="n">
        <f>IF(A11="","",E11)</f>
        <v>200</v>
      </c>
      <c r="F207" s="7" t="n">
        <f>IF(A11="","",F11)</f>
        <v>150</v>
      </c>
      <c r="G207" s="7" t="n">
        <f>IF(A11="","",G11)</f>
        <v>0</v>
      </c>
    </row>
    <row r="208" ht="14" customHeight="true">
      <c r="A208" s="6" t="n">
        <f>IF(A12="","",A12)</f>
        <v>6</v>
      </c>
      <c r="B208" s="7" t="n">
        <f>IF(A12="","",B12)</f>
        <v>500</v>
      </c>
      <c r="C208" s="7" t="n">
        <f>IF(A12="","",C12)</f>
        <v>150</v>
      </c>
      <c r="D208" s="7" t="n">
        <f>IF(A12="","",D12)</f>
        <v>0</v>
      </c>
      <c r="E208" s="7" t="n">
        <f>IF(A12="","",E12)</f>
        <v>200</v>
      </c>
      <c r="F208" s="7" t="n">
        <f>IF(A12="","",F12)</f>
        <v>150</v>
      </c>
      <c r="G208" s="7" t="n">
        <f>IF(A12="","",G12)</f>
        <v>0</v>
      </c>
    </row>
    <row r="209" ht="14" customHeight="true">
      <c r="A209" s="6" t="n">
        <f>IF(A13="","",A13)</f>
        <v>7</v>
      </c>
      <c r="B209" s="7" t="n">
        <f>IF(A13="","",B13)</f>
        <v>500</v>
      </c>
      <c r="C209" s="7" t="n">
        <f>IF(A13="","",C13)</f>
        <v>150</v>
      </c>
      <c r="D209" s="7" t="n">
        <f>IF(A13="","",D13)</f>
        <v>0</v>
      </c>
      <c r="E209" s="7" t="n">
        <f>IF(A13="","",E13)</f>
        <v>200</v>
      </c>
      <c r="F209" s="7" t="n">
        <f>IF(A13="","",F13)</f>
        <v>150</v>
      </c>
      <c r="G209" s="7" t="n">
        <f>IF(A13="","",G13)</f>
        <v>0</v>
      </c>
    </row>
    <row r="210" ht="14" customHeight="true">
      <c r="A210" s="6" t="n">
        <f>IF(A14="","",A14)</f>
        <v>8</v>
      </c>
      <c r="B210" s="7" t="n">
        <f>IF(A14="","",B14)</f>
        <v>500</v>
      </c>
      <c r="C210" s="7" t="n">
        <f>IF(A14="","",C14)</f>
        <v>150</v>
      </c>
      <c r="D210" s="7" t="n">
        <f>IF(A14="","",D14)</f>
        <v>0</v>
      </c>
      <c r="E210" s="7" t="n">
        <f>IF(A14="","",E14)</f>
        <v>200</v>
      </c>
      <c r="F210" s="7" t="n">
        <f>IF(A14="","",F14)</f>
        <v>150</v>
      </c>
      <c r="G210" s="7" t="n">
        <f>IF(A14="","",G14)</f>
        <v>0</v>
      </c>
    </row>
    <row r="211" ht="14" customHeight="true">
      <c r="A211" s="6" t="n">
        <f>IF(A15="","",A15)</f>
        <v>9</v>
      </c>
      <c r="B211" s="7" t="n">
        <f>IF(A15="","",B15)</f>
        <v>500</v>
      </c>
      <c r="C211" s="7" t="n">
        <f>IF(A15="","",C15)</f>
        <v>150</v>
      </c>
      <c r="D211" s="7" t="n">
        <f>IF(A15="","",D15)</f>
        <v>0</v>
      </c>
      <c r="E211" s="7" t="n">
        <f>IF(A15="","",E15)</f>
        <v>200</v>
      </c>
      <c r="F211" s="7" t="n">
        <f>IF(A15="","",F15)</f>
        <v>150</v>
      </c>
      <c r="G211" s="7" t="n">
        <f>IF(A15="","",G15)</f>
        <v>0</v>
      </c>
    </row>
    <row r="212" ht="14" customHeight="true">
      <c r="A212" s="6" t="n">
        <f>IF(A16="","",A16)</f>
        <v>10</v>
      </c>
      <c r="B212" s="7" t="n">
        <f>IF(A16="","",B16)</f>
        <v>500</v>
      </c>
      <c r="C212" s="7" t="n">
        <f>IF(A16="","",C16)</f>
        <v>150</v>
      </c>
      <c r="D212" s="7" t="n">
        <f>IF(A16="","",D16)</f>
        <v>0</v>
      </c>
      <c r="E212" s="7" t="n">
        <f>IF(A16="","",E16)</f>
        <v>200</v>
      </c>
      <c r="F212" s="7" t="n">
        <f>IF(A16="","",F16)</f>
        <v>150</v>
      </c>
      <c r="G212" s="7" t="n">
        <f>IF(A16="","",G16)</f>
        <v>0</v>
      </c>
    </row>
    <row r="213" ht="14" customHeight="true">
      <c r="A213" s="6" t="n">
        <f>IF(A17="","",A17)</f>
        <v>11</v>
      </c>
      <c r="B213" s="7" t="n">
        <f>IF(A17="","",B17)</f>
        <v>500</v>
      </c>
      <c r="C213" s="7" t="n">
        <f>IF(A17="","",C17)</f>
        <v>150</v>
      </c>
      <c r="D213" s="7" t="n">
        <f>IF(A17="","",D17)</f>
        <v>0</v>
      </c>
      <c r="E213" s="7" t="n">
        <f>IF(A17="","",E17)</f>
        <v>0</v>
      </c>
      <c r="F213" s="7" t="n">
        <f>IF(A17="","",F17)</f>
        <v>350</v>
      </c>
      <c r="G213" s="7" t="n">
        <f>IF(A17="","",G17)</f>
        <v>0</v>
      </c>
    </row>
    <row r="214" ht="14" customHeight="true">
      <c r="A214" s="6" t="n">
        <f>IF(A18="","",A18)</f>
        <v>12</v>
      </c>
      <c r="B214" s="7" t="n">
        <f>IF(A18="","",B18)</f>
        <v>500</v>
      </c>
      <c r="C214" s="7" t="n">
        <f>IF(A18="","",C18)</f>
        <v>150</v>
      </c>
      <c r="D214" s="7" t="n">
        <f>IF(A18="","",D18)</f>
        <v>0</v>
      </c>
      <c r="E214" s="7" t="n">
        <f>IF(A18="","",E18)</f>
        <v>0</v>
      </c>
      <c r="F214" s="7" t="n">
        <f>IF(A18="","",F18)</f>
        <v>350</v>
      </c>
      <c r="G214" s="7" t="n">
        <f>IF(A18="","",G18)</f>
        <v>0</v>
      </c>
    </row>
    <row r="215" ht="14" customHeight="true">
      <c r="A215" s="6" t="n">
        <f>IF(A19="","",A19)</f>
        <v>13</v>
      </c>
      <c r="B215" s="7" t="n">
        <f>IF(A19="","",B19)</f>
        <v>500</v>
      </c>
      <c r="C215" s="7" t="n">
        <f>IF(A19="","",C19)</f>
        <v>150</v>
      </c>
      <c r="D215" s="7" t="n">
        <f>IF(A19="","",D19)</f>
        <v>0</v>
      </c>
      <c r="E215" s="7" t="n">
        <f>IF(A19="","",E19)</f>
        <v>0</v>
      </c>
      <c r="F215" s="7" t="n">
        <f>IF(A19="","",F19)</f>
        <v>350</v>
      </c>
      <c r="G215" s="7" t="n">
        <f>IF(A19="","",G19)</f>
        <v>0</v>
      </c>
    </row>
    <row r="216" ht="14" customHeight="true">
      <c r="A216" s="6" t="n">
        <f>IF(A20="","",A20)</f>
        <v>14</v>
      </c>
      <c r="B216" s="7" t="n">
        <f>IF(A20="","",B20)</f>
        <v>500</v>
      </c>
      <c r="C216" s="7" t="n">
        <f>IF(A20="","",C20)</f>
        <v>150</v>
      </c>
      <c r="D216" s="7" t="n">
        <f>IF(A20="","",D20)</f>
        <v>0</v>
      </c>
      <c r="E216" s="7" t="n">
        <f>IF(A20="","",E20)</f>
        <v>0</v>
      </c>
      <c r="F216" s="7" t="n">
        <f>IF(A20="","",F20)</f>
        <v>350</v>
      </c>
      <c r="G216" s="7" t="n">
        <f>IF(A20="","",G20)</f>
        <v>0</v>
      </c>
    </row>
    <row r="217" ht="14" customHeight="true">
      <c r="A217" s="6" t="n">
        <f>IF(A21="","",A21)</f>
        <v>15</v>
      </c>
      <c r="B217" s="7" t="n">
        <f>IF(A21="","",B21)</f>
        <v>500</v>
      </c>
      <c r="C217" s="7" t="n">
        <f>IF(A21="","",C21)</f>
        <v>150</v>
      </c>
      <c r="D217" s="7" t="n">
        <f>IF(A21="","",D21)</f>
        <v>0</v>
      </c>
      <c r="E217" s="7" t="n">
        <f>IF(A21="","",E21)</f>
        <v>0</v>
      </c>
      <c r="F217" s="7" t="n">
        <f>IF(A21="","",F21)</f>
        <v>350</v>
      </c>
      <c r="G217" s="7" t="n">
        <f>IF(A21="","",G21)</f>
        <v>0</v>
      </c>
    </row>
    <row r="218" ht="14" customHeight="true">
      <c r="A218" s="6" t="n">
        <f>IF(A22="","",A22)</f>
        <v>16</v>
      </c>
      <c r="B218" s="7" t="n">
        <f>IF(A22="","",B22)</f>
        <v>500</v>
      </c>
      <c r="C218" s="7" t="n">
        <f>IF(A22="","",C22)</f>
        <v>150</v>
      </c>
      <c r="D218" s="7" t="n">
        <f>IF(A22="","",D22)</f>
        <v>0</v>
      </c>
      <c r="E218" s="7" t="n">
        <f>IF(A22="","",E22)</f>
        <v>0</v>
      </c>
      <c r="F218" s="7" t="n">
        <f>IF(A22="","",F22)</f>
        <v>350</v>
      </c>
      <c r="G218" s="7" t="n">
        <f>IF(A22="","",G22)</f>
        <v>0</v>
      </c>
    </row>
    <row r="219" ht="14" customHeight="true">
      <c r="A219" s="6" t="n">
        <f>IF(A23="","",A23)</f>
        <v>17</v>
      </c>
      <c r="B219" s="7" t="n">
        <f>IF(A23="","",B23)</f>
        <v>500</v>
      </c>
      <c r="C219" s="7" t="n">
        <f>IF(A23="","",C23)</f>
        <v>150</v>
      </c>
      <c r="D219" s="7" t="n">
        <f>IF(A23="","",D23)</f>
        <v>0</v>
      </c>
      <c r="E219" s="7" t="n">
        <f>IF(A23="","",E23)</f>
        <v>0</v>
      </c>
      <c r="F219" s="7" t="n">
        <f>IF(A23="","",F23)</f>
        <v>350</v>
      </c>
      <c r="G219" s="7" t="n">
        <f>IF(A23="","",G23)</f>
        <v>0</v>
      </c>
    </row>
    <row r="220" ht="14" customHeight="true">
      <c r="A220" s="6" t="n">
        <f>IF(A24="","",A24)</f>
        <v>18</v>
      </c>
      <c r="B220" s="7" t="n">
        <f>IF(A24="","",B24)</f>
        <v>500</v>
      </c>
      <c r="C220" s="7" t="n">
        <f>IF(A24="","",C24)</f>
        <v>150</v>
      </c>
      <c r="D220" s="7" t="n">
        <f>IF(A24="","",D24)</f>
        <v>0</v>
      </c>
      <c r="E220" s="7" t="n">
        <f>IF(A24="","",E24)</f>
        <v>0</v>
      </c>
      <c r="F220" s="7" t="n">
        <f>IF(A24="","",F24)</f>
        <v>350</v>
      </c>
      <c r="G220" s="7" t="n">
        <f>IF(A24="","",G24)</f>
        <v>0</v>
      </c>
    </row>
    <row r="221" ht="14" customHeight="true">
      <c r="A221" s="6" t="n">
        <f>IF(A25="","",A25)</f>
        <v>19</v>
      </c>
      <c r="B221" s="7" t="n">
        <f>IF(A25="","",B25)</f>
        <v>500</v>
      </c>
      <c r="C221" s="7" t="n">
        <f>IF(A25="","",C25)</f>
        <v>150</v>
      </c>
      <c r="D221" s="7" t="n">
        <f>IF(A25="","",D25)</f>
        <v>0</v>
      </c>
      <c r="E221" s="7" t="n">
        <f>IF(A25="","",E25)</f>
        <v>0</v>
      </c>
      <c r="F221" s="7" t="n">
        <f>IF(A25="","",F25)</f>
        <v>350</v>
      </c>
      <c r="G221" s="7" t="n">
        <f>IF(A25="","",G25)</f>
        <v>0</v>
      </c>
    </row>
    <row r="222" ht="14" customHeight="true">
      <c r="A222" s="6" t="n">
        <f>IF(A26="","",A26)</f>
        <v>20</v>
      </c>
      <c r="B222" s="7" t="n">
        <f>IF(A26="","",B26)</f>
        <v>500</v>
      </c>
      <c r="C222" s="7" t="n">
        <f>IF(A26="","",C26)</f>
        <v>150</v>
      </c>
      <c r="D222" s="7" t="n">
        <f>IF(A26="","",D26)</f>
        <v>0</v>
      </c>
      <c r="E222" s="7" t="n">
        <f>IF(A26="","",E26)</f>
        <v>0</v>
      </c>
      <c r="F222" s="7" t="n">
        <f>IF(A26="","",F26)</f>
        <v>350</v>
      </c>
      <c r="G222" s="7" t="n">
        <f>IF(A26="","",G26)</f>
        <v>0</v>
      </c>
    </row>
    <row r="223" ht="14" customHeight="true">
      <c r="A223" s="6" t="n">
        <f>IF(A27="","",A27)</f>
        <v>21</v>
      </c>
      <c r="B223" s="7" t="n">
        <f>IF(A27="","",B27)</f>
        <v>500</v>
      </c>
      <c r="C223" s="7" t="n">
        <f>IF(A27="","",C27)</f>
        <v>150</v>
      </c>
      <c r="D223" s="7" t="n">
        <f>IF(A27="","",D27)</f>
        <v>0</v>
      </c>
      <c r="E223" s="7" t="n">
        <f>IF(A27="","",E27)</f>
        <v>0</v>
      </c>
      <c r="F223" s="7" t="n">
        <f>IF(A27="","",F27)</f>
        <v>350</v>
      </c>
      <c r="G223" s="7" t="n">
        <f>IF(A27="","",G27)</f>
        <v>0</v>
      </c>
    </row>
    <row r="224" ht="14" customHeight="true">
      <c r="A224" s="6" t="n">
        <f>IF(A28="","",A28)</f>
        <v>22</v>
      </c>
      <c r="B224" s="7" t="n">
        <f>IF(A28="","",B28)</f>
        <v>500</v>
      </c>
      <c r="C224" s="7" t="n">
        <f>IF(A28="","",C28)</f>
        <v>150</v>
      </c>
      <c r="D224" s="7" t="n">
        <f>IF(A28="","",D28)</f>
        <v>0</v>
      </c>
      <c r="E224" s="7" t="n">
        <f>IF(A28="","",E28)</f>
        <v>0</v>
      </c>
      <c r="F224" s="7" t="n">
        <f>IF(A28="","",F28)</f>
        <v>350</v>
      </c>
      <c r="G224" s="7" t="n">
        <f>IF(A28="","",G28)</f>
        <v>0</v>
      </c>
    </row>
    <row r="225" ht="14" customHeight="true">
      <c r="A225" s="6" t="n">
        <f>IF(A29="","",A29)</f>
        <v>23</v>
      </c>
      <c r="B225" s="7" t="n">
        <f>IF(A29="","",B29)</f>
        <v>500</v>
      </c>
      <c r="C225" s="7" t="n">
        <f>IF(A29="","",C29)</f>
        <v>150</v>
      </c>
      <c r="D225" s="7" t="n">
        <f>IF(A29="","",D29)</f>
        <v>0</v>
      </c>
      <c r="E225" s="7" t="n">
        <f>IF(A29="","",E29)</f>
        <v>0</v>
      </c>
      <c r="F225" s="7" t="n">
        <f>IF(A29="","",F29)</f>
        <v>350</v>
      </c>
      <c r="G225" s="7" t="n">
        <f>IF(A29="","",G29)</f>
        <v>0</v>
      </c>
    </row>
    <row r="226" ht="14" customHeight="true">
      <c r="A226" s="6" t="n">
        <f>IF(A30="","",A30)</f>
        <v>24</v>
      </c>
      <c r="B226" s="7" t="n">
        <f>IF(A30="","",B30)</f>
        <v>500</v>
      </c>
      <c r="C226" s="7" t="n">
        <f>IF(A30="","",C30)</f>
        <v>150</v>
      </c>
      <c r="D226" s="7" t="n">
        <f>IF(A30="","",D30)</f>
        <v>0</v>
      </c>
      <c r="E226" s="7" t="n">
        <f>IF(A30="","",E30)</f>
        <v>0</v>
      </c>
      <c r="F226" s="7" t="n">
        <f>IF(A30="","",F30)</f>
        <v>350</v>
      </c>
      <c r="G226" s="7" t="n">
        <f>IF(A30="","",G30)</f>
        <v>0</v>
      </c>
    </row>
    <row r="227" ht="14" customHeight="true">
      <c r="A227" s="6" t="n">
        <f>IF(A31="","",A31)</f>
        <v>25</v>
      </c>
      <c r="B227" s="7" t="n">
        <f>IF(A31="","",B31)</f>
        <v>500</v>
      </c>
      <c r="C227" s="7" t="n">
        <f>IF(A31="","",C31)</f>
        <v>150</v>
      </c>
      <c r="D227" s="7" t="n">
        <f>IF(A31="","",D31)</f>
        <v>0</v>
      </c>
      <c r="E227" s="7" t="n">
        <f>IF(A31="","",E31)</f>
        <v>0</v>
      </c>
      <c r="F227" s="7" t="n">
        <f>IF(A31="","",F31)</f>
        <v>350</v>
      </c>
      <c r="G227" s="7" t="n">
        <f>IF(A31="","",G31)</f>
        <v>0</v>
      </c>
    </row>
    <row r="228" ht="14" customHeight="true">
      <c r="A228" s="6" t="n">
        <f>IF(A32="","",A32)</f>
        <v>26</v>
      </c>
      <c r="B228" s="7" t="n">
        <f>IF(A32="","",B32)</f>
        <v>500</v>
      </c>
      <c r="C228" s="7" t="n">
        <f>IF(A32="","",C32)</f>
        <v>150</v>
      </c>
      <c r="D228" s="7" t="n">
        <f>IF(A32="","",D32)</f>
        <v>0</v>
      </c>
      <c r="E228" s="7" t="n">
        <f>IF(A32="","",E32)</f>
        <v>0</v>
      </c>
      <c r="F228" s="7" t="n">
        <f>IF(A32="","",F32)</f>
        <v>350</v>
      </c>
      <c r="G228" s="7" t="n">
        <f>IF(A32="","",G32)</f>
        <v>0</v>
      </c>
    </row>
    <row r="229" ht="14" customHeight="true">
      <c r="A229" s="6" t="n">
        <f>IF(A33="","",A33)</f>
        <v>27</v>
      </c>
      <c r="B229" s="7" t="n">
        <f>IF(A33="","",B33)</f>
        <v>500</v>
      </c>
      <c r="C229" s="7" t="n">
        <f>IF(A33="","",C33)</f>
        <v>150</v>
      </c>
      <c r="D229" s="7" t="n">
        <f>IF(A33="","",D33)</f>
        <v>0</v>
      </c>
      <c r="E229" s="7" t="n">
        <f>IF(A33="","",E33)</f>
        <v>0</v>
      </c>
      <c r="F229" s="7" t="n">
        <f>IF(A33="","",F33)</f>
        <v>350</v>
      </c>
      <c r="G229" s="7" t="n">
        <f>IF(A33="","",G33)</f>
        <v>0</v>
      </c>
    </row>
    <row r="230" ht="14" customHeight="true">
      <c r="A230" s="6" t="n">
        <f>IF(A34="","",A34)</f>
        <v>28</v>
      </c>
      <c r="B230" s="7" t="n">
        <f>IF(A34="","",B34)</f>
        <v>500</v>
      </c>
      <c r="C230" s="7" t="n">
        <f>IF(A34="","",C34)</f>
        <v>150</v>
      </c>
      <c r="D230" s="7" t="n">
        <f>IF(A34="","",D34)</f>
        <v>0</v>
      </c>
      <c r="E230" s="7" t="n">
        <f>IF(A34="","",E34)</f>
        <v>0</v>
      </c>
      <c r="F230" s="7" t="n">
        <f>IF(A34="","",F34)</f>
        <v>350</v>
      </c>
      <c r="G230" s="7" t="n">
        <f>IF(A34="","",G34)</f>
        <v>0</v>
      </c>
    </row>
    <row r="231" ht="14" customHeight="true">
      <c r="A231" s="6" t="n">
        <f>IF(A35="","",A35)</f>
        <v>29</v>
      </c>
      <c r="B231" s="7" t="n">
        <f>IF(A35="","",B35)</f>
        <v>500</v>
      </c>
      <c r="C231" s="7" t="n">
        <f>IF(A35="","",C35)</f>
        <v>150</v>
      </c>
      <c r="D231" s="7" t="n">
        <f>IF(A35="","",D35)</f>
        <v>0</v>
      </c>
      <c r="E231" s="7" t="n">
        <f>IF(A35="","",E35)</f>
        <v>0</v>
      </c>
      <c r="F231" s="7" t="n">
        <f>IF(A35="","",F35)</f>
        <v>350</v>
      </c>
      <c r="G231" s="7" t="n">
        <f>IF(A35="","",G35)</f>
        <v>0</v>
      </c>
    </row>
    <row r="232" ht="14" customHeight="true">
      <c r="A232" s="6" t="n">
        <f>IF(A36="","",A36)</f>
        <v>30</v>
      </c>
      <c r="B232" s="7" t="n">
        <f>IF(A36="","",B36)</f>
        <v>500</v>
      </c>
      <c r="C232" s="7" t="n">
        <f>IF(A36="","",C36)</f>
        <v>150</v>
      </c>
      <c r="D232" s="7" t="n">
        <f>IF(A36="","",D36)</f>
        <v>0</v>
      </c>
      <c r="E232" s="7" t="n">
        <f>IF(A36="","",E36)</f>
        <v>0</v>
      </c>
      <c r="F232" s="7" t="n">
        <f>IF(A36="","",F36)</f>
        <v>350</v>
      </c>
      <c r="G232" s="7" t="n">
        <f>IF(A36="","",G36)</f>
        <v>0</v>
      </c>
    </row>
    <row r="233" ht="14" customHeight="true">
      <c r="A233" s="6" t="n">
        <f>IF(A37="","",A37)</f>
        <v>31</v>
      </c>
      <c r="B233" s="7" t="n">
        <f>IF(A37="","",B37)</f>
        <v>500</v>
      </c>
      <c r="C233" s="7" t="n">
        <f>IF(A37="","",C37)</f>
        <v>150</v>
      </c>
      <c r="D233" s="7" t="n">
        <f>IF(A37="","",D37)</f>
        <v>0</v>
      </c>
      <c r="E233" s="7" t="n">
        <f>IF(A37="","",E37)</f>
        <v>0</v>
      </c>
      <c r="F233" s="7" t="n">
        <f>IF(A37="","",F37)</f>
        <v>350</v>
      </c>
      <c r="G233" s="7" t="n">
        <f>IF(A37="","",G37)</f>
        <v>0</v>
      </c>
    </row>
    <row r="234" ht="14" customHeight="true">
      <c r="A234" s="6" t="n">
        <f>IF(A38="","",A38)</f>
        <v>32</v>
      </c>
      <c r="B234" s="7" t="n">
        <f>IF(A38="","",B38)</f>
        <v>500</v>
      </c>
      <c r="C234" s="7" t="n">
        <f>IF(A38="","",C38)</f>
        <v>150</v>
      </c>
      <c r="D234" s="7" t="n">
        <f>IF(A38="","",D38)</f>
        <v>0</v>
      </c>
      <c r="E234" s="7" t="n">
        <f>IF(A38="","",E38)</f>
        <v>0</v>
      </c>
      <c r="F234" s="7" t="n">
        <f>IF(A38="","",F38)</f>
        <v>350</v>
      </c>
      <c r="G234" s="7" t="n">
        <f>IF(A38="","",G38)</f>
        <v>0</v>
      </c>
    </row>
    <row r="235" ht="14" customHeight="true">
      <c r="A235" s="6" t="n">
        <f>IF(A39="","",A39)</f>
        <v>33</v>
      </c>
      <c r="B235" s="7" t="n">
        <f>IF(A39="","",B39)</f>
        <v>500</v>
      </c>
      <c r="C235" s="7" t="n">
        <f>IF(A39="","",C39)</f>
        <v>150</v>
      </c>
      <c r="D235" s="7" t="n">
        <f>IF(A39="","",D39)</f>
        <v>0</v>
      </c>
      <c r="E235" s="7" t="n">
        <f>IF(A39="","",E39)</f>
        <v>0</v>
      </c>
      <c r="F235" s="7" t="n">
        <f>IF(A39="","",F39)</f>
        <v>350</v>
      </c>
      <c r="G235" s="7" t="n">
        <f>IF(A39="","",G39)</f>
        <v>0</v>
      </c>
    </row>
    <row r="236" ht="14" customHeight="true">
      <c r="A236" s="6" t="n">
        <f>IF(A40="","",A40)</f>
        <v>34</v>
      </c>
      <c r="B236" s="7" t="n">
        <f>IF(A40="","",B40)</f>
        <v>500</v>
      </c>
      <c r="C236" s="7" t="n">
        <f>IF(A40="","",C40)</f>
        <v>150</v>
      </c>
      <c r="D236" s="7" t="n">
        <f>IF(A40="","",D40)</f>
        <v>0</v>
      </c>
      <c r="E236" s="7" t="n">
        <f>IF(A40="","",E40)</f>
        <v>0</v>
      </c>
      <c r="F236" s="7" t="n">
        <f>IF(A40="","",F40)</f>
        <v>350</v>
      </c>
      <c r="G236" s="7" t="n">
        <f>IF(A40="","",G40)</f>
        <v>0</v>
      </c>
    </row>
    <row r="237" ht="14" customHeight="true">
      <c r="A237" s="6" t="n">
        <f>IF(A41="","",A41)</f>
        <v>35</v>
      </c>
      <c r="B237" s="7" t="n">
        <f>IF(A41="","",B41)</f>
        <v>500</v>
      </c>
      <c r="C237" s="7" t="n">
        <f>IF(A41="","",C41)</f>
        <v>150</v>
      </c>
      <c r="D237" s="7" t="n">
        <f>IF(A41="","",D41)</f>
        <v>0</v>
      </c>
      <c r="E237" s="7" t="n">
        <f>IF(A41="","",E41)</f>
        <v>0</v>
      </c>
      <c r="F237" s="7" t="n">
        <f>IF(A41="","",F41)</f>
        <v>350</v>
      </c>
      <c r="G237" s="7" t="n">
        <f>IF(A41="","",G41)</f>
        <v>0</v>
      </c>
    </row>
    <row r="238" ht="14" customHeight="true">
      <c r="A238" s="6" t="n">
        <f>IF(A42="","",A42)</f>
        <v>36</v>
      </c>
      <c r="B238" s="7" t="n">
        <f>IF(A42="","",B42)</f>
        <v>500</v>
      </c>
      <c r="C238" s="7" t="n">
        <f>IF(A42="","",C42)</f>
        <v>150</v>
      </c>
      <c r="D238" s="7" t="n">
        <f>IF(A42="","",D42)</f>
        <v>0</v>
      </c>
      <c r="E238" s="7" t="n">
        <f>IF(A42="","",E42)</f>
        <v>0</v>
      </c>
      <c r="F238" s="7" t="n">
        <f>IF(A42="","",F42)</f>
        <v>350</v>
      </c>
      <c r="G238" s="7" t="n">
        <f>IF(A42="","",G42)</f>
        <v>0</v>
      </c>
    </row>
    <row r="239" ht="14" customHeight="true">
      <c r="A239" s="6" t="n">
        <f>IF(A43="","",A43)</f>
        <v>37</v>
      </c>
      <c r="B239" s="7" t="n">
        <f>IF(A43="","",B43)</f>
        <v>500</v>
      </c>
      <c r="C239" s="7" t="n">
        <f>IF(A43="","",C43)</f>
        <v>150</v>
      </c>
      <c r="D239" s="7" t="n">
        <f>IF(A43="","",D43)</f>
        <v>0</v>
      </c>
      <c r="E239" s="7" t="n">
        <f>IF(A43="","",E43)</f>
        <v>0</v>
      </c>
      <c r="F239" s="7" t="n">
        <f>IF(A43="","",F43)</f>
        <v>350</v>
      </c>
      <c r="G239" s="7" t="n">
        <f>IF(A43="","",G43)</f>
        <v>0</v>
      </c>
    </row>
    <row r="240" ht="14" customHeight="true">
      <c r="A240" s="6" t="n">
        <f>IF(A44="","",A44)</f>
        <v>38</v>
      </c>
      <c r="B240" s="7" t="n">
        <f>IF(A44="","",B44)</f>
        <v>500</v>
      </c>
      <c r="C240" s="7" t="n">
        <f>IF(A44="","",C44)</f>
        <v>150</v>
      </c>
      <c r="D240" s="7" t="n">
        <f>IF(A44="","",D44)</f>
        <v>0</v>
      </c>
      <c r="E240" s="7" t="n">
        <f>IF(A44="","",E44)</f>
        <v>0</v>
      </c>
      <c r="F240" s="7" t="n">
        <f>IF(A44="","",F44)</f>
        <v>350</v>
      </c>
      <c r="G240" s="7" t="n">
        <f>IF(A44="","",G44)</f>
        <v>0</v>
      </c>
    </row>
    <row r="241" ht="14" customHeight="true">
      <c r="A241" s="6" t="n">
        <f>IF(A45="","",A45)</f>
        <v>39</v>
      </c>
      <c r="B241" s="7" t="n">
        <f>IF(A45="","",B45)</f>
        <v>500</v>
      </c>
      <c r="C241" s="7" t="n">
        <f>IF(A45="","",C45)</f>
        <v>150</v>
      </c>
      <c r="D241" s="7" t="n">
        <f>IF(A45="","",D45)</f>
        <v>0</v>
      </c>
      <c r="E241" s="7" t="n">
        <f>IF(A45="","",E45)</f>
        <v>0</v>
      </c>
      <c r="F241" s="7" t="n">
        <f>IF(A45="","",F45)</f>
        <v>350</v>
      </c>
      <c r="G241" s="7" t="n">
        <f>IF(A45="","",G45)</f>
        <v>0</v>
      </c>
    </row>
    <row r="242" ht="14" customHeight="true">
      <c r="A242" s="6" t="n">
        <f>IF(A46="","",A46)</f>
        <v>40</v>
      </c>
      <c r="B242" s="7" t="n">
        <f>IF(A46="","",B46)</f>
        <v>500</v>
      </c>
      <c r="C242" s="7" t="n">
        <f>IF(A46="","",C46)</f>
        <v>150</v>
      </c>
      <c r="D242" s="7" t="n">
        <f>IF(A46="","",D46)</f>
        <v>0</v>
      </c>
      <c r="E242" s="7" t="n">
        <f>IF(A46="","",E46)</f>
        <v>0</v>
      </c>
      <c r="F242" s="7" t="n">
        <f>IF(A46="","",F46)</f>
        <v>350</v>
      </c>
      <c r="G242" s="7" t="n">
        <f>IF(A46="","",G46)</f>
        <v>0</v>
      </c>
    </row>
    <row r="243" ht="14" customHeight="true">
      <c r="A243" s="6" t="n">
        <f>IF(A47="","",A47)</f>
        <v>41</v>
      </c>
      <c r="B243" s="7" t="n">
        <f>IF(A47="","",B47)</f>
        <v>500</v>
      </c>
      <c r="C243" s="7" t="n">
        <f>IF(A47="","",C47)</f>
        <v>150</v>
      </c>
      <c r="D243" s="7" t="n">
        <f>IF(A47="","",D47)</f>
        <v>0</v>
      </c>
      <c r="E243" s="7" t="n">
        <f>IF(A47="","",E47)</f>
        <v>0</v>
      </c>
      <c r="F243" s="7" t="n">
        <f>IF(A47="","",F47)</f>
        <v>350</v>
      </c>
      <c r="G243" s="7" t="n">
        <f>IF(A47="","",G47)</f>
        <v>0</v>
      </c>
    </row>
    <row r="244" ht="14" customHeight="true">
      <c r="A244" s="6" t="n">
        <f>IF(A48="","",A48)</f>
        <v>42</v>
      </c>
      <c r="B244" s="7" t="n">
        <f>IF(A48="","",B48)</f>
        <v>500</v>
      </c>
      <c r="C244" s="7" t="n">
        <f>IF(A48="","",C48)</f>
        <v>150</v>
      </c>
      <c r="D244" s="7" t="n">
        <f>IF(A48="","",D48)</f>
        <v>0</v>
      </c>
      <c r="E244" s="7" t="n">
        <f>IF(A48="","",E48)</f>
        <v>0</v>
      </c>
      <c r="F244" s="7" t="n">
        <f>IF(A48="","",F48)</f>
        <v>350</v>
      </c>
      <c r="G244" s="7" t="n">
        <f>IF(A48="","",G48)</f>
        <v>0</v>
      </c>
    </row>
    <row r="245" ht="14" customHeight="true">
      <c r="A245" s="6" t="n">
        <f>IF(A49="","",A49)</f>
        <v>43</v>
      </c>
      <c r="B245" s="7" t="n">
        <f>IF(A49="","",B49)</f>
        <v>500</v>
      </c>
      <c r="C245" s="7" t="n">
        <f>IF(A49="","",C49)</f>
        <v>150</v>
      </c>
      <c r="D245" s="7" t="n">
        <f>IF(A49="","",D49)</f>
        <v>0</v>
      </c>
      <c r="E245" s="7" t="n">
        <f>IF(A49="","",E49)</f>
        <v>0</v>
      </c>
      <c r="F245" s="7" t="n">
        <f>IF(A49="","",F49)</f>
        <v>350</v>
      </c>
      <c r="G245" s="7" t="n">
        <f>IF(A49="","",G49)</f>
        <v>0</v>
      </c>
    </row>
    <row r="246" ht="14" customHeight="true">
      <c r="A246" s="6" t="n">
        <f>IF(A50="","",A50)</f>
        <v>44</v>
      </c>
      <c r="B246" s="7" t="n">
        <f>IF(A50="","",B50)</f>
        <v>500</v>
      </c>
      <c r="C246" s="7" t="n">
        <f>IF(A50="","",C50)</f>
        <v>150</v>
      </c>
      <c r="D246" s="7" t="n">
        <f>IF(A50="","",D50)</f>
        <v>0</v>
      </c>
      <c r="E246" s="7" t="n">
        <f>IF(A50="","",E50)</f>
        <v>0</v>
      </c>
      <c r="F246" s="7" t="n">
        <f>IF(A50="","",F50)</f>
        <v>350</v>
      </c>
      <c r="G246" s="7" t="n">
        <f>IF(A50="","",G50)</f>
        <v>0</v>
      </c>
    </row>
    <row r="247" ht="14" customHeight="true">
      <c r="A247" s="6" t="n">
        <f>IF(A51="","",A51)</f>
        <v>45</v>
      </c>
      <c r="B247" s="7" t="n">
        <f>IF(A51="","",B51)</f>
        <v>500</v>
      </c>
      <c r="C247" s="7" t="n">
        <f>IF(A51="","",C51)</f>
        <v>150</v>
      </c>
      <c r="D247" s="7" t="n">
        <f>IF(A51="","",D51)</f>
        <v>0</v>
      </c>
      <c r="E247" s="7" t="n">
        <f>IF(A51="","",E51)</f>
        <v>0</v>
      </c>
      <c r="F247" s="7" t="n">
        <f>IF(A51="","",F51)</f>
        <v>350</v>
      </c>
      <c r="G247" s="7" t="n">
        <f>IF(A51="","",G51)</f>
        <v>0</v>
      </c>
    </row>
    <row r="248" ht="14" customHeight="true">
      <c r="A248" s="6" t="n">
        <f>IF(A52="","",A52)</f>
        <v>46</v>
      </c>
      <c r="B248" s="7" t="n">
        <f>IF(A52="","",B52)</f>
        <v>500</v>
      </c>
      <c r="C248" s="7" t="n">
        <f>IF(A52="","",C52)</f>
        <v>150</v>
      </c>
      <c r="D248" s="7" t="n">
        <f>IF(A52="","",D52)</f>
        <v>0</v>
      </c>
      <c r="E248" s="7" t="n">
        <f>IF(A52="","",E52)</f>
        <v>0</v>
      </c>
      <c r="F248" s="7" t="n">
        <f>IF(A52="","",F52)</f>
        <v>350</v>
      </c>
      <c r="G248" s="7" t="n">
        <f>IF(A52="","",G52)</f>
        <v>0</v>
      </c>
    </row>
    <row r="249" ht="14" customHeight="true">
      <c r="A249" s="6" t="n">
        <f>IF(A53="","",A53)</f>
        <v>47</v>
      </c>
      <c r="B249" s="7" t="n">
        <f>IF(A53="","",B53)</f>
        <v>500</v>
      </c>
      <c r="C249" s="7" t="n">
        <f>IF(A53="","",C53)</f>
        <v>150</v>
      </c>
      <c r="D249" s="7" t="n">
        <f>IF(A53="","",D53)</f>
        <v>0</v>
      </c>
      <c r="E249" s="7" t="n">
        <f>IF(A53="","",E53)</f>
        <v>0</v>
      </c>
      <c r="F249" s="7" t="n">
        <f>IF(A53="","",F53)</f>
        <v>350</v>
      </c>
      <c r="G249" s="7" t="n">
        <f>IF(A53="","",G53)</f>
        <v>0</v>
      </c>
    </row>
    <row r="250" ht="14" customHeight="true">
      <c r="A250" s="6" t="n">
        <f>IF(A54="","",A54)</f>
        <v>48</v>
      </c>
      <c r="B250" s="7" t="n">
        <f>IF(A54="","",B54)</f>
        <v>500</v>
      </c>
      <c r="C250" s="7" t="n">
        <f>IF(A54="","",C54)</f>
        <v>150</v>
      </c>
      <c r="D250" s="7" t="n">
        <f>IF(A54="","",D54)</f>
        <v>0</v>
      </c>
      <c r="E250" s="7" t="n">
        <f>IF(A54="","",E54)</f>
        <v>0</v>
      </c>
      <c r="F250" s="7" t="n">
        <f>IF(A54="","",F54)</f>
        <v>350</v>
      </c>
      <c r="G250" s="7" t="n">
        <f>IF(A54="","",G54)</f>
        <v>0</v>
      </c>
    </row>
    <row r="251" ht="14" customHeight="true">
      <c r="A251" s="6" t="str">
        <f>IF(A55="","",A55)</f>
        <v/>
      </c>
      <c r="B251" s="7" t="str">
        <f>IF(A55="","",B55)</f>
        <v/>
      </c>
      <c r="C251" s="7" t="str">
        <f>IF(A55="","",C55)</f>
        <v/>
      </c>
      <c r="D251" s="7" t="str">
        <f>IF(A55="","",D55)</f>
        <v/>
      </c>
      <c r="E251" s="7" t="str">
        <f>IF(A55="","",E55)</f>
        <v/>
      </c>
      <c r="F251" s="7" t="str">
        <f>IF(A55="","",F55)</f>
        <v/>
      </c>
      <c r="G251" s="7" t="str">
        <f>IF(A55="","",G55)</f>
        <v/>
      </c>
    </row>
    <row r="252" ht="14" customHeight="true">
      <c r="A252" s="6" t="str">
        <f>IF(A56="","",A56)</f>
        <v/>
      </c>
      <c r="B252" s="7" t="str">
        <f>IF(A56="","",B56)</f>
        <v/>
      </c>
      <c r="C252" s="7" t="str">
        <f>IF(A56="","",C56)</f>
        <v/>
      </c>
      <c r="D252" s="7" t="str">
        <f>IF(A56="","",D56)</f>
        <v/>
      </c>
      <c r="E252" s="7" t="str">
        <f>IF(A56="","",E56)</f>
        <v/>
      </c>
      <c r="F252" s="7" t="str">
        <f>IF(A56="","",F56)</f>
        <v/>
      </c>
      <c r="G252" s="7" t="str">
        <f>IF(A56="","",G56)</f>
        <v/>
      </c>
    </row>
    <row r="253" ht="14" customHeight="true">
      <c r="A253" s="6" t="str">
        <f>IF(A57="","",A57)</f>
        <v/>
      </c>
      <c r="B253" s="7" t="str">
        <f>IF(A57="","",B57)</f>
        <v/>
      </c>
      <c r="C253" s="7" t="str">
        <f>IF(A57="","",C57)</f>
        <v/>
      </c>
      <c r="D253" s="7" t="str">
        <f>IF(A57="","",D57)</f>
        <v/>
      </c>
      <c r="E253" s="7" t="str">
        <f>IF(A57="","",E57)</f>
        <v/>
      </c>
      <c r="F253" s="7" t="str">
        <f>IF(A57="","",F57)</f>
        <v/>
      </c>
      <c r="G253" s="7" t="str">
        <f>IF(A57="","",G57)</f>
        <v/>
      </c>
    </row>
    <row r="254" ht="14" customHeight="true">
      <c r="A254" s="6" t="str">
        <f>IF(A58="","",A58)</f>
        <v/>
      </c>
      <c r="B254" s="7" t="str">
        <f>IF(A58="","",B58)</f>
        <v/>
      </c>
      <c r="C254" s="7" t="str">
        <f>IF(A58="","",C58)</f>
        <v/>
      </c>
      <c r="D254" s="7" t="str">
        <f>IF(A58="","",D58)</f>
        <v/>
      </c>
      <c r="E254" s="7" t="str">
        <f>IF(A58="","",E58)</f>
        <v/>
      </c>
      <c r="F254" s="7" t="str">
        <f>IF(A58="","",F58)</f>
        <v/>
      </c>
      <c r="G254" s="7" t="str">
        <f>IF(A58="","",G58)</f>
        <v/>
      </c>
    </row>
    <row r="255" ht="14" customHeight="true">
      <c r="A255" s="6" t="str">
        <f>IF(A59="","",A59)</f>
        <v/>
      </c>
      <c r="B255" s="7" t="str">
        <f>IF(A59="","",B59)</f>
        <v/>
      </c>
      <c r="C255" s="7" t="str">
        <f>IF(A59="","",C59)</f>
        <v/>
      </c>
      <c r="D255" s="7" t="str">
        <f>IF(A59="","",D59)</f>
        <v/>
      </c>
      <c r="E255" s="7" t="str">
        <f>IF(A59="","",E59)</f>
        <v/>
      </c>
      <c r="F255" s="7" t="str">
        <f>IF(A59="","",F59)</f>
        <v/>
      </c>
      <c r="G255" s="7" t="str">
        <f>IF(A59="","",G59)</f>
        <v/>
      </c>
    </row>
    <row r="256" ht="14" customHeight="true">
      <c r="A256" s="6" t="str">
        <f>IF(A60="","",A60)</f>
        <v/>
      </c>
      <c r="B256" s="7" t="str">
        <f>IF(A60="","",B60)</f>
        <v/>
      </c>
      <c r="C256" s="7" t="str">
        <f>IF(A60="","",C60)</f>
        <v/>
      </c>
      <c r="D256" s="7" t="str">
        <f>IF(A60="","",D60)</f>
        <v/>
      </c>
      <c r="E256" s="7" t="str">
        <f>IF(A60="","",E60)</f>
        <v/>
      </c>
      <c r="F256" s="7" t="str">
        <f>IF(A60="","",F60)</f>
        <v/>
      </c>
      <c r="G256" s="7" t="str">
        <f>IF(A60="","",G60)</f>
        <v/>
      </c>
    </row>
    <row r="257" ht="14" customHeight="true">
      <c r="A257" s="6" t="str">
        <f>IF(A61="","",A61)</f>
        <v/>
      </c>
      <c r="B257" s="7" t="str">
        <f>IF(A61="","",B61)</f>
        <v/>
      </c>
      <c r="C257" s="7" t="str">
        <f>IF(A61="","",C61)</f>
        <v/>
      </c>
      <c r="D257" s="7" t="str">
        <f>IF(A61="","",D61)</f>
        <v/>
      </c>
      <c r="E257" s="7" t="str">
        <f>IF(A61="","",E61)</f>
        <v/>
      </c>
      <c r="F257" s="7" t="str">
        <f>IF(A61="","",F61)</f>
        <v/>
      </c>
      <c r="G257" s="7" t="str">
        <f>IF(A61="","",G61)</f>
        <v/>
      </c>
    </row>
    <row r="258" ht="14" customHeight="true">
      <c r="A258" s="6" t="str">
        <f>IF(A62="","",A62)</f>
        <v/>
      </c>
      <c r="B258" s="7" t="str">
        <f>IF(A62="","",B62)</f>
        <v/>
      </c>
      <c r="C258" s="7" t="str">
        <f>IF(A62="","",C62)</f>
        <v/>
      </c>
      <c r="D258" s="7" t="str">
        <f>IF(A62="","",D62)</f>
        <v/>
      </c>
      <c r="E258" s="7" t="str">
        <f>IF(A62="","",E62)</f>
        <v/>
      </c>
      <c r="F258" s="7" t="str">
        <f>IF(A62="","",F62)</f>
        <v/>
      </c>
      <c r="G258" s="7" t="str">
        <f>IF(A62="","",G62)</f>
        <v/>
      </c>
    </row>
    <row r="259" ht="14" customHeight="true">
      <c r="A259" s="6" t="str">
        <f>IF(A63="","",A63)</f>
        <v/>
      </c>
      <c r="B259" s="7" t="str">
        <f>IF(A63="","",B63)</f>
        <v/>
      </c>
      <c r="C259" s="7" t="str">
        <f>IF(A63="","",C63)</f>
        <v/>
      </c>
      <c r="D259" s="7" t="str">
        <f>IF(A63="","",D63)</f>
        <v/>
      </c>
      <c r="E259" s="7" t="str">
        <f>IF(A63="","",E63)</f>
        <v/>
      </c>
      <c r="F259" s="7" t="str">
        <f>IF(A63="","",F63)</f>
        <v/>
      </c>
      <c r="G259" s="7" t="str">
        <f>IF(A63="","",G63)</f>
        <v/>
      </c>
    </row>
    <row r="260" ht="14" customHeight="true">
      <c r="A260" s="6" t="str">
        <f>IF(A64="","",A64)</f>
        <v/>
      </c>
      <c r="B260" s="7" t="str">
        <f>IF(A64="","",B64)</f>
        <v/>
      </c>
      <c r="C260" s="7" t="str">
        <f>IF(A64="","",C64)</f>
        <v/>
      </c>
      <c r="D260" s="7" t="str">
        <f>IF(A64="","",D64)</f>
        <v/>
      </c>
      <c r="E260" s="7" t="str">
        <f>IF(A64="","",E64)</f>
        <v/>
      </c>
      <c r="F260" s="7" t="str">
        <f>IF(A64="","",F64)</f>
        <v/>
      </c>
      <c r="G260" s="7" t="str">
        <f>IF(A64="","",G64)</f>
        <v/>
      </c>
    </row>
    <row r="261" ht="14" customHeight="true">
      <c r="A261" s="6" t="str">
        <f>IF(A65="","",A65)</f>
        <v/>
      </c>
      <c r="B261" s="7" t="str">
        <f>IF(A65="","",B65)</f>
        <v/>
      </c>
      <c r="C261" s="7" t="str">
        <f>IF(A65="","",C65)</f>
        <v/>
      </c>
      <c r="D261" s="7" t="str">
        <f>IF(A65="","",D65)</f>
        <v/>
      </c>
      <c r="E261" s="7" t="str">
        <f>IF(A65="","",E65)</f>
        <v/>
      </c>
      <c r="F261" s="7" t="str">
        <f>IF(A65="","",F65)</f>
        <v/>
      </c>
      <c r="G261" s="7" t="str">
        <f>IF(A65="","",G65)</f>
        <v/>
      </c>
    </row>
    <row r="262" ht="14" customHeight="true">
      <c r="A262" s="6" t="str">
        <f>IF(A66="","",A66)</f>
        <v/>
      </c>
      <c r="B262" s="7" t="str">
        <f>IF(A66="","",B66)</f>
        <v/>
      </c>
      <c r="C262" s="7" t="str">
        <f>IF(A66="","",C66)</f>
        <v/>
      </c>
      <c r="D262" s="7" t="str">
        <f>IF(A66="","",D66)</f>
        <v/>
      </c>
      <c r="E262" s="7" t="str">
        <f>IF(A66="","",E66)</f>
        <v/>
      </c>
      <c r="F262" s="7" t="str">
        <f>IF(A66="","",F66)</f>
        <v/>
      </c>
      <c r="G262" s="7" t="str">
        <f>IF(A66="","",G66)</f>
        <v/>
      </c>
    </row>
    <row r="270" ht="24" customHeight="true">
      <c r="A270" s="1" t="str">
        <f>"Druckbereich · Zuordnungen A · Teil 2/2"</f>
        <v>Druckbereich · Zuordnungen A · Teil 2/2</v>
      </c>
    </row>
    <row r="271" ht="36" customHeight="true">
      <c r="A271" s="2" t="str">
        <f>"Mein Plan: "&amp;Ziele!$B$5&amp;IF(Ziele!$B$5=1," Monat. "," Monate. ")&amp;"Ziele 4–6, freier Rest und Kontrolle. Die Kontrollspalte muss 0,00 € ergeben. Alle Beträge in Euro."</f>
        <v>Mein Plan: 48 Monate. Ziele 4–6, freier Rest und Kontrolle. Die Kontrollspalte muss 0,00 € ergeben. Alle Beträge in Euro.</v>
      </c>
    </row>
    <row r="272" ht="33.75" customHeight="true">
      <c r="A272" s="3" t="str">
        <f>A6</f>
        <v>Monat</v>
      </c>
      <c r="B272" s="3" t="str">
        <f>H6</f>
        <v>Ziel 4</v>
      </c>
      <c r="C272" s="3" t="str">
        <f>I6</f>
        <v>Ziel 5</v>
      </c>
      <c r="D272" s="3" t="str">
        <f>J6</f>
        <v>Ziel 6</v>
      </c>
      <c r="E272" s="3" t="str">
        <f>K6</f>
        <v>Frei für später</v>
      </c>
      <c r="F272" s="3" t="str">
        <f>L6</f>
        <v>Kontrolle</v>
      </c>
    </row>
    <row r="273" ht="14" customHeight="true">
      <c r="A273" s="6" t="n">
        <f>IF(A7="","",A7)</f>
        <v>1</v>
      </c>
      <c r="B273" s="7" t="n">
        <f>IF(A7="","",H7)</f>
        <v>0</v>
      </c>
      <c r="C273" s="7" t="n">
        <f>IF(A7="","",I7)</f>
        <v>0</v>
      </c>
      <c r="D273" s="7" t="n">
        <f>IF(A7="","",J7)</f>
        <v>0</v>
      </c>
      <c r="E273" s="7" t="n">
        <f>IF(A7="","",K7)</f>
        <v>0</v>
      </c>
      <c r="F273" s="7" t="n">
        <f>IF(A7="","",L7)</f>
        <v>0</v>
      </c>
    </row>
    <row r="274" ht="14" customHeight="true">
      <c r="A274" s="6" t="n">
        <f>IF(A8="","",A8)</f>
        <v>2</v>
      </c>
      <c r="B274" s="7" t="n">
        <f>IF(A8="","",H8)</f>
        <v>0</v>
      </c>
      <c r="C274" s="7" t="n">
        <f>IF(A8="","",I8)</f>
        <v>0</v>
      </c>
      <c r="D274" s="7" t="n">
        <f>IF(A8="","",J8)</f>
        <v>0</v>
      </c>
      <c r="E274" s="7" t="n">
        <f>IF(A8="","",K8)</f>
        <v>0</v>
      </c>
      <c r="F274" s="7" t="n">
        <f>IF(A8="","",L8)</f>
        <v>0</v>
      </c>
    </row>
    <row r="275" ht="14" customHeight="true">
      <c r="A275" s="6" t="n">
        <f>IF(A9="","",A9)</f>
        <v>3</v>
      </c>
      <c r="B275" s="7" t="n">
        <f>IF(A9="","",H9)</f>
        <v>0</v>
      </c>
      <c r="C275" s="7" t="n">
        <f>IF(A9="","",I9)</f>
        <v>0</v>
      </c>
      <c r="D275" s="7" t="n">
        <f>IF(A9="","",J9)</f>
        <v>0</v>
      </c>
      <c r="E275" s="7" t="n">
        <f>IF(A9="","",K9)</f>
        <v>0</v>
      </c>
      <c r="F275" s="7" t="n">
        <f>IF(A9="","",L9)</f>
        <v>0</v>
      </c>
    </row>
    <row r="276" ht="14" customHeight="true">
      <c r="A276" s="6" t="n">
        <f>IF(A10="","",A10)</f>
        <v>4</v>
      </c>
      <c r="B276" s="7" t="n">
        <f>IF(A10="","",H10)</f>
        <v>0</v>
      </c>
      <c r="C276" s="7" t="n">
        <f>IF(A10="","",I10)</f>
        <v>0</v>
      </c>
      <c r="D276" s="7" t="n">
        <f>IF(A10="","",J10)</f>
        <v>0</v>
      </c>
      <c r="E276" s="7" t="n">
        <f>IF(A10="","",K10)</f>
        <v>0</v>
      </c>
      <c r="F276" s="7" t="n">
        <f>IF(A10="","",L10)</f>
        <v>0</v>
      </c>
    </row>
    <row r="277" ht="14" customHeight="true">
      <c r="A277" s="6" t="n">
        <f>IF(A11="","",A11)</f>
        <v>5</v>
      </c>
      <c r="B277" s="7" t="n">
        <f>IF(A11="","",H11)</f>
        <v>0</v>
      </c>
      <c r="C277" s="7" t="n">
        <f>IF(A11="","",I11)</f>
        <v>0</v>
      </c>
      <c r="D277" s="7" t="n">
        <f>IF(A11="","",J11)</f>
        <v>0</v>
      </c>
      <c r="E277" s="7" t="n">
        <f>IF(A11="","",K11)</f>
        <v>0</v>
      </c>
      <c r="F277" s="7" t="n">
        <f>IF(A11="","",L11)</f>
        <v>0</v>
      </c>
    </row>
    <row r="278" ht="14" customHeight="true">
      <c r="A278" s="6" t="n">
        <f>IF(A12="","",A12)</f>
        <v>6</v>
      </c>
      <c r="B278" s="7" t="n">
        <f>IF(A12="","",H12)</f>
        <v>0</v>
      </c>
      <c r="C278" s="7" t="n">
        <f>IF(A12="","",I12)</f>
        <v>0</v>
      </c>
      <c r="D278" s="7" t="n">
        <f>IF(A12="","",J12)</f>
        <v>0</v>
      </c>
      <c r="E278" s="7" t="n">
        <f>IF(A12="","",K12)</f>
        <v>0</v>
      </c>
      <c r="F278" s="7" t="n">
        <f>IF(A12="","",L12)</f>
        <v>0</v>
      </c>
    </row>
    <row r="279" ht="14" customHeight="true">
      <c r="A279" s="6" t="n">
        <f>IF(A13="","",A13)</f>
        <v>7</v>
      </c>
      <c r="B279" s="7" t="n">
        <f>IF(A13="","",H13)</f>
        <v>0</v>
      </c>
      <c r="C279" s="7" t="n">
        <f>IF(A13="","",I13)</f>
        <v>0</v>
      </c>
      <c r="D279" s="7" t="n">
        <f>IF(A13="","",J13)</f>
        <v>0</v>
      </c>
      <c r="E279" s="7" t="n">
        <f>IF(A13="","",K13)</f>
        <v>0</v>
      </c>
      <c r="F279" s="7" t="n">
        <f>IF(A13="","",L13)</f>
        <v>0</v>
      </c>
    </row>
    <row r="280" ht="14" customHeight="true">
      <c r="A280" s="6" t="n">
        <f>IF(A14="","",A14)</f>
        <v>8</v>
      </c>
      <c r="B280" s="7" t="n">
        <f>IF(A14="","",H14)</f>
        <v>0</v>
      </c>
      <c r="C280" s="7" t="n">
        <f>IF(A14="","",I14)</f>
        <v>0</v>
      </c>
      <c r="D280" s="7" t="n">
        <f>IF(A14="","",J14)</f>
        <v>0</v>
      </c>
      <c r="E280" s="7" t="n">
        <f>IF(A14="","",K14)</f>
        <v>0</v>
      </c>
      <c r="F280" s="7" t="n">
        <f>IF(A14="","",L14)</f>
        <v>0</v>
      </c>
    </row>
    <row r="281" ht="14" customHeight="true">
      <c r="A281" s="6" t="n">
        <f>IF(A15="","",A15)</f>
        <v>9</v>
      </c>
      <c r="B281" s="7" t="n">
        <f>IF(A15="","",H15)</f>
        <v>0</v>
      </c>
      <c r="C281" s="7" t="n">
        <f>IF(A15="","",I15)</f>
        <v>0</v>
      </c>
      <c r="D281" s="7" t="n">
        <f>IF(A15="","",J15)</f>
        <v>0</v>
      </c>
      <c r="E281" s="7" t="n">
        <f>IF(A15="","",K15)</f>
        <v>0</v>
      </c>
      <c r="F281" s="7" t="n">
        <f>IF(A15="","",L15)</f>
        <v>0</v>
      </c>
    </row>
    <row r="282" ht="14" customHeight="true">
      <c r="A282" s="6" t="n">
        <f>IF(A16="","",A16)</f>
        <v>10</v>
      </c>
      <c r="B282" s="7" t="n">
        <f>IF(A16="","",H16)</f>
        <v>0</v>
      </c>
      <c r="C282" s="7" t="n">
        <f>IF(A16="","",I16)</f>
        <v>0</v>
      </c>
      <c r="D282" s="7" t="n">
        <f>IF(A16="","",J16)</f>
        <v>0</v>
      </c>
      <c r="E282" s="7" t="n">
        <f>IF(A16="","",K16)</f>
        <v>0</v>
      </c>
      <c r="F282" s="7" t="n">
        <f>IF(A16="","",L16)</f>
        <v>0</v>
      </c>
    </row>
    <row r="283" ht="14" customHeight="true">
      <c r="A283" s="6" t="n">
        <f>IF(A17="","",A17)</f>
        <v>11</v>
      </c>
      <c r="B283" s="7" t="n">
        <f>IF(A17="","",H17)</f>
        <v>0</v>
      </c>
      <c r="C283" s="7" t="n">
        <f>IF(A17="","",I17)</f>
        <v>0</v>
      </c>
      <c r="D283" s="7" t="n">
        <f>IF(A17="","",J17)</f>
        <v>0</v>
      </c>
      <c r="E283" s="7" t="n">
        <f>IF(A17="","",K17)</f>
        <v>0</v>
      </c>
      <c r="F283" s="7" t="n">
        <f>IF(A17="","",L17)</f>
        <v>0</v>
      </c>
    </row>
    <row r="284" ht="14" customHeight="true">
      <c r="A284" s="6" t="n">
        <f>IF(A18="","",A18)</f>
        <v>12</v>
      </c>
      <c r="B284" s="7" t="n">
        <f>IF(A18="","",H18)</f>
        <v>0</v>
      </c>
      <c r="C284" s="7" t="n">
        <f>IF(A18="","",I18)</f>
        <v>0</v>
      </c>
      <c r="D284" s="7" t="n">
        <f>IF(A18="","",J18)</f>
        <v>0</v>
      </c>
      <c r="E284" s="7" t="n">
        <f>IF(A18="","",K18)</f>
        <v>0</v>
      </c>
      <c r="F284" s="7" t="n">
        <f>IF(A18="","",L18)</f>
        <v>0</v>
      </c>
    </row>
    <row r="285" ht="14" customHeight="true">
      <c r="A285" s="6" t="n">
        <f>IF(A19="","",A19)</f>
        <v>13</v>
      </c>
      <c r="B285" s="7" t="n">
        <f>IF(A19="","",H19)</f>
        <v>0</v>
      </c>
      <c r="C285" s="7" t="n">
        <f>IF(A19="","",I19)</f>
        <v>0</v>
      </c>
      <c r="D285" s="7" t="n">
        <f>IF(A19="","",J19)</f>
        <v>0</v>
      </c>
      <c r="E285" s="7" t="n">
        <f>IF(A19="","",K19)</f>
        <v>0</v>
      </c>
      <c r="F285" s="7" t="n">
        <f>IF(A19="","",L19)</f>
        <v>0</v>
      </c>
    </row>
    <row r="286" ht="14" customHeight="true">
      <c r="A286" s="6" t="n">
        <f>IF(A20="","",A20)</f>
        <v>14</v>
      </c>
      <c r="B286" s="7" t="n">
        <f>IF(A20="","",H20)</f>
        <v>0</v>
      </c>
      <c r="C286" s="7" t="n">
        <f>IF(A20="","",I20)</f>
        <v>0</v>
      </c>
      <c r="D286" s="7" t="n">
        <f>IF(A20="","",J20)</f>
        <v>0</v>
      </c>
      <c r="E286" s="7" t="n">
        <f>IF(A20="","",K20)</f>
        <v>0</v>
      </c>
      <c r="F286" s="7" t="n">
        <f>IF(A20="","",L20)</f>
        <v>0</v>
      </c>
    </row>
    <row r="287" ht="14" customHeight="true">
      <c r="A287" s="6" t="n">
        <f>IF(A21="","",A21)</f>
        <v>15</v>
      </c>
      <c r="B287" s="7" t="n">
        <f>IF(A21="","",H21)</f>
        <v>0</v>
      </c>
      <c r="C287" s="7" t="n">
        <f>IF(A21="","",I21)</f>
        <v>0</v>
      </c>
      <c r="D287" s="7" t="n">
        <f>IF(A21="","",J21)</f>
        <v>0</v>
      </c>
      <c r="E287" s="7" t="n">
        <f>IF(A21="","",K21)</f>
        <v>0</v>
      </c>
      <c r="F287" s="7" t="n">
        <f>IF(A21="","",L21)</f>
        <v>0</v>
      </c>
    </row>
    <row r="288" ht="14" customHeight="true">
      <c r="A288" s="6" t="n">
        <f>IF(A22="","",A22)</f>
        <v>16</v>
      </c>
      <c r="B288" s="7" t="n">
        <f>IF(A22="","",H22)</f>
        <v>0</v>
      </c>
      <c r="C288" s="7" t="n">
        <f>IF(A22="","",I22)</f>
        <v>0</v>
      </c>
      <c r="D288" s="7" t="n">
        <f>IF(A22="","",J22)</f>
        <v>0</v>
      </c>
      <c r="E288" s="7" t="n">
        <f>IF(A22="","",K22)</f>
        <v>0</v>
      </c>
      <c r="F288" s="7" t="n">
        <f>IF(A22="","",L22)</f>
        <v>0</v>
      </c>
    </row>
    <row r="289" ht="14" customHeight="true">
      <c r="A289" s="6" t="n">
        <f>IF(A23="","",A23)</f>
        <v>17</v>
      </c>
      <c r="B289" s="7" t="n">
        <f>IF(A23="","",H23)</f>
        <v>0</v>
      </c>
      <c r="C289" s="7" t="n">
        <f>IF(A23="","",I23)</f>
        <v>0</v>
      </c>
      <c r="D289" s="7" t="n">
        <f>IF(A23="","",J23)</f>
        <v>0</v>
      </c>
      <c r="E289" s="7" t="n">
        <f>IF(A23="","",K23)</f>
        <v>0</v>
      </c>
      <c r="F289" s="7" t="n">
        <f>IF(A23="","",L23)</f>
        <v>0</v>
      </c>
    </row>
    <row r="290" ht="14" customHeight="true">
      <c r="A290" s="6" t="n">
        <f>IF(A24="","",A24)</f>
        <v>18</v>
      </c>
      <c r="B290" s="7" t="n">
        <f>IF(A24="","",H24)</f>
        <v>0</v>
      </c>
      <c r="C290" s="7" t="n">
        <f>IF(A24="","",I24)</f>
        <v>0</v>
      </c>
      <c r="D290" s="7" t="n">
        <f>IF(A24="","",J24)</f>
        <v>0</v>
      </c>
      <c r="E290" s="7" t="n">
        <f>IF(A24="","",K24)</f>
        <v>0</v>
      </c>
      <c r="F290" s="7" t="n">
        <f>IF(A24="","",L24)</f>
        <v>0</v>
      </c>
    </row>
    <row r="291" ht="14" customHeight="true">
      <c r="A291" s="6" t="n">
        <f>IF(A25="","",A25)</f>
        <v>19</v>
      </c>
      <c r="B291" s="7" t="n">
        <f>IF(A25="","",H25)</f>
        <v>0</v>
      </c>
      <c r="C291" s="7" t="n">
        <f>IF(A25="","",I25)</f>
        <v>0</v>
      </c>
      <c r="D291" s="7" t="n">
        <f>IF(A25="","",J25)</f>
        <v>0</v>
      </c>
      <c r="E291" s="7" t="n">
        <f>IF(A25="","",K25)</f>
        <v>0</v>
      </c>
      <c r="F291" s="7" t="n">
        <f>IF(A25="","",L25)</f>
        <v>0</v>
      </c>
    </row>
    <row r="292" ht="14" customHeight="true">
      <c r="A292" s="6" t="n">
        <f>IF(A26="","",A26)</f>
        <v>20</v>
      </c>
      <c r="B292" s="7" t="n">
        <f>IF(A26="","",H26)</f>
        <v>0</v>
      </c>
      <c r="C292" s="7" t="n">
        <f>IF(A26="","",I26)</f>
        <v>0</v>
      </c>
      <c r="D292" s="7" t="n">
        <f>IF(A26="","",J26)</f>
        <v>0</v>
      </c>
      <c r="E292" s="7" t="n">
        <f>IF(A26="","",K26)</f>
        <v>0</v>
      </c>
      <c r="F292" s="7" t="n">
        <f>IF(A26="","",L26)</f>
        <v>0</v>
      </c>
    </row>
    <row r="293" ht="14" customHeight="true">
      <c r="A293" s="6" t="n">
        <f>IF(A27="","",A27)</f>
        <v>21</v>
      </c>
      <c r="B293" s="7" t="n">
        <f>IF(A27="","",H27)</f>
        <v>0</v>
      </c>
      <c r="C293" s="7" t="n">
        <f>IF(A27="","",I27)</f>
        <v>0</v>
      </c>
      <c r="D293" s="7" t="n">
        <f>IF(A27="","",J27)</f>
        <v>0</v>
      </c>
      <c r="E293" s="7" t="n">
        <f>IF(A27="","",K27)</f>
        <v>0</v>
      </c>
      <c r="F293" s="7" t="n">
        <f>IF(A27="","",L27)</f>
        <v>0</v>
      </c>
    </row>
    <row r="294" ht="14" customHeight="true">
      <c r="A294" s="6" t="n">
        <f>IF(A28="","",A28)</f>
        <v>22</v>
      </c>
      <c r="B294" s="7" t="n">
        <f>IF(A28="","",H28)</f>
        <v>0</v>
      </c>
      <c r="C294" s="7" t="n">
        <f>IF(A28="","",I28)</f>
        <v>0</v>
      </c>
      <c r="D294" s="7" t="n">
        <f>IF(A28="","",J28)</f>
        <v>0</v>
      </c>
      <c r="E294" s="7" t="n">
        <f>IF(A28="","",K28)</f>
        <v>0</v>
      </c>
      <c r="F294" s="7" t="n">
        <f>IF(A28="","",L28)</f>
        <v>0</v>
      </c>
    </row>
    <row r="295" ht="14" customHeight="true">
      <c r="A295" s="6" t="n">
        <f>IF(A29="","",A29)</f>
        <v>23</v>
      </c>
      <c r="B295" s="7" t="n">
        <f>IF(A29="","",H29)</f>
        <v>0</v>
      </c>
      <c r="C295" s="7" t="n">
        <f>IF(A29="","",I29)</f>
        <v>0</v>
      </c>
      <c r="D295" s="7" t="n">
        <f>IF(A29="","",J29)</f>
        <v>0</v>
      </c>
      <c r="E295" s="7" t="n">
        <f>IF(A29="","",K29)</f>
        <v>0</v>
      </c>
      <c r="F295" s="7" t="n">
        <f>IF(A29="","",L29)</f>
        <v>0</v>
      </c>
    </row>
    <row r="296" ht="14" customHeight="true">
      <c r="A296" s="6" t="n">
        <f>IF(A30="","",A30)</f>
        <v>24</v>
      </c>
      <c r="B296" s="7" t="n">
        <f>IF(A30="","",H30)</f>
        <v>0</v>
      </c>
      <c r="C296" s="7" t="n">
        <f>IF(A30="","",I30)</f>
        <v>0</v>
      </c>
      <c r="D296" s="7" t="n">
        <f>IF(A30="","",J30)</f>
        <v>0</v>
      </c>
      <c r="E296" s="7" t="n">
        <f>IF(A30="","",K30)</f>
        <v>0</v>
      </c>
      <c r="F296" s="7" t="n">
        <f>IF(A30="","",L30)</f>
        <v>0</v>
      </c>
    </row>
    <row r="297" ht="14" customHeight="true">
      <c r="A297" s="6" t="n">
        <f>IF(A31="","",A31)</f>
        <v>25</v>
      </c>
      <c r="B297" s="7" t="n">
        <f>IF(A31="","",H31)</f>
        <v>0</v>
      </c>
      <c r="C297" s="7" t="n">
        <f>IF(A31="","",I31)</f>
        <v>0</v>
      </c>
      <c r="D297" s="7" t="n">
        <f>IF(A31="","",J31)</f>
        <v>0</v>
      </c>
      <c r="E297" s="7" t="n">
        <f>IF(A31="","",K31)</f>
        <v>0</v>
      </c>
      <c r="F297" s="7" t="n">
        <f>IF(A31="","",L31)</f>
        <v>0</v>
      </c>
    </row>
    <row r="298" ht="14" customHeight="true">
      <c r="A298" s="6" t="n">
        <f>IF(A32="","",A32)</f>
        <v>26</v>
      </c>
      <c r="B298" s="7" t="n">
        <f>IF(A32="","",H32)</f>
        <v>0</v>
      </c>
      <c r="C298" s="7" t="n">
        <f>IF(A32="","",I32)</f>
        <v>0</v>
      </c>
      <c r="D298" s="7" t="n">
        <f>IF(A32="","",J32)</f>
        <v>0</v>
      </c>
      <c r="E298" s="7" t="n">
        <f>IF(A32="","",K32)</f>
        <v>0</v>
      </c>
      <c r="F298" s="7" t="n">
        <f>IF(A32="","",L32)</f>
        <v>0</v>
      </c>
    </row>
    <row r="299" ht="14" customHeight="true">
      <c r="A299" s="6" t="n">
        <f>IF(A33="","",A33)</f>
        <v>27</v>
      </c>
      <c r="B299" s="7" t="n">
        <f>IF(A33="","",H33)</f>
        <v>0</v>
      </c>
      <c r="C299" s="7" t="n">
        <f>IF(A33="","",I33)</f>
        <v>0</v>
      </c>
      <c r="D299" s="7" t="n">
        <f>IF(A33="","",J33)</f>
        <v>0</v>
      </c>
      <c r="E299" s="7" t="n">
        <f>IF(A33="","",K33)</f>
        <v>0</v>
      </c>
      <c r="F299" s="7" t="n">
        <f>IF(A33="","",L33)</f>
        <v>0</v>
      </c>
    </row>
    <row r="300" ht="14" customHeight="true">
      <c r="A300" s="6" t="n">
        <f>IF(A34="","",A34)</f>
        <v>28</v>
      </c>
      <c r="B300" s="7" t="n">
        <f>IF(A34="","",H34)</f>
        <v>0</v>
      </c>
      <c r="C300" s="7" t="n">
        <f>IF(A34="","",I34)</f>
        <v>0</v>
      </c>
      <c r="D300" s="7" t="n">
        <f>IF(A34="","",J34)</f>
        <v>0</v>
      </c>
      <c r="E300" s="7" t="n">
        <f>IF(A34="","",K34)</f>
        <v>0</v>
      </c>
      <c r="F300" s="7" t="n">
        <f>IF(A34="","",L34)</f>
        <v>0</v>
      </c>
    </row>
    <row r="301" ht="14" customHeight="true">
      <c r="A301" s="6" t="n">
        <f>IF(A35="","",A35)</f>
        <v>29</v>
      </c>
      <c r="B301" s="7" t="n">
        <f>IF(A35="","",H35)</f>
        <v>0</v>
      </c>
      <c r="C301" s="7" t="n">
        <f>IF(A35="","",I35)</f>
        <v>0</v>
      </c>
      <c r="D301" s="7" t="n">
        <f>IF(A35="","",J35)</f>
        <v>0</v>
      </c>
      <c r="E301" s="7" t="n">
        <f>IF(A35="","",K35)</f>
        <v>0</v>
      </c>
      <c r="F301" s="7" t="n">
        <f>IF(A35="","",L35)</f>
        <v>0</v>
      </c>
    </row>
    <row r="302" ht="14" customHeight="true">
      <c r="A302" s="6" t="n">
        <f>IF(A36="","",A36)</f>
        <v>30</v>
      </c>
      <c r="B302" s="7" t="n">
        <f>IF(A36="","",H36)</f>
        <v>0</v>
      </c>
      <c r="C302" s="7" t="n">
        <f>IF(A36="","",I36)</f>
        <v>0</v>
      </c>
      <c r="D302" s="7" t="n">
        <f>IF(A36="","",J36)</f>
        <v>0</v>
      </c>
      <c r="E302" s="7" t="n">
        <f>IF(A36="","",K36)</f>
        <v>0</v>
      </c>
      <c r="F302" s="7" t="n">
        <f>IF(A36="","",L36)</f>
        <v>0</v>
      </c>
    </row>
    <row r="303" ht="14" customHeight="true">
      <c r="A303" s="6" t="n">
        <f>IF(A37="","",A37)</f>
        <v>31</v>
      </c>
      <c r="B303" s="7" t="n">
        <f>IF(A37="","",H37)</f>
        <v>0</v>
      </c>
      <c r="C303" s="7" t="n">
        <f>IF(A37="","",I37)</f>
        <v>0</v>
      </c>
      <c r="D303" s="7" t="n">
        <f>IF(A37="","",J37)</f>
        <v>0</v>
      </c>
      <c r="E303" s="7" t="n">
        <f>IF(A37="","",K37)</f>
        <v>0</v>
      </c>
      <c r="F303" s="7" t="n">
        <f>IF(A37="","",L37)</f>
        <v>0</v>
      </c>
    </row>
    <row r="304" ht="14" customHeight="true">
      <c r="A304" s="6" t="n">
        <f>IF(A38="","",A38)</f>
        <v>32</v>
      </c>
      <c r="B304" s="7" t="n">
        <f>IF(A38="","",H38)</f>
        <v>0</v>
      </c>
      <c r="C304" s="7" t="n">
        <f>IF(A38="","",I38)</f>
        <v>0</v>
      </c>
      <c r="D304" s="7" t="n">
        <f>IF(A38="","",J38)</f>
        <v>0</v>
      </c>
      <c r="E304" s="7" t="n">
        <f>IF(A38="","",K38)</f>
        <v>0</v>
      </c>
      <c r="F304" s="7" t="n">
        <f>IF(A38="","",L38)</f>
        <v>0</v>
      </c>
    </row>
    <row r="305" ht="14" customHeight="true">
      <c r="A305" s="6" t="n">
        <f>IF(A39="","",A39)</f>
        <v>33</v>
      </c>
      <c r="B305" s="7" t="n">
        <f>IF(A39="","",H39)</f>
        <v>0</v>
      </c>
      <c r="C305" s="7" t="n">
        <f>IF(A39="","",I39)</f>
        <v>0</v>
      </c>
      <c r="D305" s="7" t="n">
        <f>IF(A39="","",J39)</f>
        <v>0</v>
      </c>
      <c r="E305" s="7" t="n">
        <f>IF(A39="","",K39)</f>
        <v>0</v>
      </c>
      <c r="F305" s="7" t="n">
        <f>IF(A39="","",L39)</f>
        <v>0</v>
      </c>
    </row>
    <row r="306" ht="14" customHeight="true">
      <c r="A306" s="6" t="n">
        <f>IF(A40="","",A40)</f>
        <v>34</v>
      </c>
      <c r="B306" s="7" t="n">
        <f>IF(A40="","",H40)</f>
        <v>0</v>
      </c>
      <c r="C306" s="7" t="n">
        <f>IF(A40="","",I40)</f>
        <v>0</v>
      </c>
      <c r="D306" s="7" t="n">
        <f>IF(A40="","",J40)</f>
        <v>0</v>
      </c>
      <c r="E306" s="7" t="n">
        <f>IF(A40="","",K40)</f>
        <v>0</v>
      </c>
      <c r="F306" s="7" t="n">
        <f>IF(A40="","",L40)</f>
        <v>0</v>
      </c>
    </row>
    <row r="307" ht="14" customHeight="true">
      <c r="A307" s="6" t="n">
        <f>IF(A41="","",A41)</f>
        <v>35</v>
      </c>
      <c r="B307" s="7" t="n">
        <f>IF(A41="","",H41)</f>
        <v>0</v>
      </c>
      <c r="C307" s="7" t="n">
        <f>IF(A41="","",I41)</f>
        <v>0</v>
      </c>
      <c r="D307" s="7" t="n">
        <f>IF(A41="","",J41)</f>
        <v>0</v>
      </c>
      <c r="E307" s="7" t="n">
        <f>IF(A41="","",K41)</f>
        <v>0</v>
      </c>
      <c r="F307" s="7" t="n">
        <f>IF(A41="","",L41)</f>
        <v>0</v>
      </c>
    </row>
    <row r="308" ht="14" customHeight="true">
      <c r="A308" s="6" t="n">
        <f>IF(A42="","",A42)</f>
        <v>36</v>
      </c>
      <c r="B308" s="7" t="n">
        <f>IF(A42="","",H42)</f>
        <v>0</v>
      </c>
      <c r="C308" s="7" t="n">
        <f>IF(A42="","",I42)</f>
        <v>0</v>
      </c>
      <c r="D308" s="7" t="n">
        <f>IF(A42="","",J42)</f>
        <v>0</v>
      </c>
      <c r="E308" s="7" t="n">
        <f>IF(A42="","",K42)</f>
        <v>0</v>
      </c>
      <c r="F308" s="7" t="n">
        <f>IF(A42="","",L42)</f>
        <v>0</v>
      </c>
    </row>
    <row r="309" ht="14" customHeight="true">
      <c r="A309" s="6" t="n">
        <f>IF(A43="","",A43)</f>
        <v>37</v>
      </c>
      <c r="B309" s="7" t="n">
        <f>IF(A43="","",H43)</f>
        <v>0</v>
      </c>
      <c r="C309" s="7" t="n">
        <f>IF(A43="","",I43)</f>
        <v>0</v>
      </c>
      <c r="D309" s="7" t="n">
        <f>IF(A43="","",J43)</f>
        <v>0</v>
      </c>
      <c r="E309" s="7" t="n">
        <f>IF(A43="","",K43)</f>
        <v>0</v>
      </c>
      <c r="F309" s="7" t="n">
        <f>IF(A43="","",L43)</f>
        <v>0</v>
      </c>
    </row>
    <row r="310" ht="14" customHeight="true">
      <c r="A310" s="6" t="n">
        <f>IF(A44="","",A44)</f>
        <v>38</v>
      </c>
      <c r="B310" s="7" t="n">
        <f>IF(A44="","",H44)</f>
        <v>0</v>
      </c>
      <c r="C310" s="7" t="n">
        <f>IF(A44="","",I44)</f>
        <v>0</v>
      </c>
      <c r="D310" s="7" t="n">
        <f>IF(A44="","",J44)</f>
        <v>0</v>
      </c>
      <c r="E310" s="7" t="n">
        <f>IF(A44="","",K44)</f>
        <v>0</v>
      </c>
      <c r="F310" s="7" t="n">
        <f>IF(A44="","",L44)</f>
        <v>0</v>
      </c>
    </row>
    <row r="311" ht="14" customHeight="true">
      <c r="A311" s="6" t="n">
        <f>IF(A45="","",A45)</f>
        <v>39</v>
      </c>
      <c r="B311" s="7" t="n">
        <f>IF(A45="","",H45)</f>
        <v>0</v>
      </c>
      <c r="C311" s="7" t="n">
        <f>IF(A45="","",I45)</f>
        <v>0</v>
      </c>
      <c r="D311" s="7" t="n">
        <f>IF(A45="","",J45)</f>
        <v>0</v>
      </c>
      <c r="E311" s="7" t="n">
        <f>IF(A45="","",K45)</f>
        <v>0</v>
      </c>
      <c r="F311" s="7" t="n">
        <f>IF(A45="","",L45)</f>
        <v>0</v>
      </c>
    </row>
    <row r="312" ht="14" customHeight="true">
      <c r="A312" s="6" t="n">
        <f>IF(A46="","",A46)</f>
        <v>40</v>
      </c>
      <c r="B312" s="7" t="n">
        <f>IF(A46="","",H46)</f>
        <v>0</v>
      </c>
      <c r="C312" s="7" t="n">
        <f>IF(A46="","",I46)</f>
        <v>0</v>
      </c>
      <c r="D312" s="7" t="n">
        <f>IF(A46="","",J46)</f>
        <v>0</v>
      </c>
      <c r="E312" s="7" t="n">
        <f>IF(A46="","",K46)</f>
        <v>0</v>
      </c>
      <c r="F312" s="7" t="n">
        <f>IF(A46="","",L46)</f>
        <v>0</v>
      </c>
    </row>
    <row r="313" ht="14" customHeight="true">
      <c r="A313" s="6" t="n">
        <f>IF(A47="","",A47)</f>
        <v>41</v>
      </c>
      <c r="B313" s="7" t="n">
        <f>IF(A47="","",H47)</f>
        <v>0</v>
      </c>
      <c r="C313" s="7" t="n">
        <f>IF(A47="","",I47)</f>
        <v>0</v>
      </c>
      <c r="D313" s="7" t="n">
        <f>IF(A47="","",J47)</f>
        <v>0</v>
      </c>
      <c r="E313" s="7" t="n">
        <f>IF(A47="","",K47)</f>
        <v>0</v>
      </c>
      <c r="F313" s="7" t="n">
        <f>IF(A47="","",L47)</f>
        <v>0</v>
      </c>
    </row>
    <row r="314" ht="14" customHeight="true">
      <c r="A314" s="6" t="n">
        <f>IF(A48="","",A48)</f>
        <v>42</v>
      </c>
      <c r="B314" s="7" t="n">
        <f>IF(A48="","",H48)</f>
        <v>0</v>
      </c>
      <c r="C314" s="7" t="n">
        <f>IF(A48="","",I48)</f>
        <v>0</v>
      </c>
      <c r="D314" s="7" t="n">
        <f>IF(A48="","",J48)</f>
        <v>0</v>
      </c>
      <c r="E314" s="7" t="n">
        <f>IF(A48="","",K48)</f>
        <v>0</v>
      </c>
      <c r="F314" s="7" t="n">
        <f>IF(A48="","",L48)</f>
        <v>0</v>
      </c>
    </row>
    <row r="315" ht="14" customHeight="true">
      <c r="A315" s="6" t="n">
        <f>IF(A49="","",A49)</f>
        <v>43</v>
      </c>
      <c r="B315" s="7" t="n">
        <f>IF(A49="","",H49)</f>
        <v>0</v>
      </c>
      <c r="C315" s="7" t="n">
        <f>IF(A49="","",I49)</f>
        <v>0</v>
      </c>
      <c r="D315" s="7" t="n">
        <f>IF(A49="","",J49)</f>
        <v>0</v>
      </c>
      <c r="E315" s="7" t="n">
        <f>IF(A49="","",K49)</f>
        <v>0</v>
      </c>
      <c r="F315" s="7" t="n">
        <f>IF(A49="","",L49)</f>
        <v>0</v>
      </c>
    </row>
    <row r="316" ht="14" customHeight="true">
      <c r="A316" s="6" t="n">
        <f>IF(A50="","",A50)</f>
        <v>44</v>
      </c>
      <c r="B316" s="7" t="n">
        <f>IF(A50="","",H50)</f>
        <v>0</v>
      </c>
      <c r="C316" s="7" t="n">
        <f>IF(A50="","",I50)</f>
        <v>0</v>
      </c>
      <c r="D316" s="7" t="n">
        <f>IF(A50="","",J50)</f>
        <v>0</v>
      </c>
      <c r="E316" s="7" t="n">
        <f>IF(A50="","",K50)</f>
        <v>0</v>
      </c>
      <c r="F316" s="7" t="n">
        <f>IF(A50="","",L50)</f>
        <v>0</v>
      </c>
    </row>
    <row r="317" ht="14" customHeight="true">
      <c r="A317" s="6" t="n">
        <f>IF(A51="","",A51)</f>
        <v>45</v>
      </c>
      <c r="B317" s="7" t="n">
        <f>IF(A51="","",H51)</f>
        <v>0</v>
      </c>
      <c r="C317" s="7" t="n">
        <f>IF(A51="","",I51)</f>
        <v>0</v>
      </c>
      <c r="D317" s="7" t="n">
        <f>IF(A51="","",J51)</f>
        <v>0</v>
      </c>
      <c r="E317" s="7" t="n">
        <f>IF(A51="","",K51)</f>
        <v>0</v>
      </c>
      <c r="F317" s="7" t="n">
        <f>IF(A51="","",L51)</f>
        <v>0</v>
      </c>
    </row>
    <row r="318" ht="14" customHeight="true">
      <c r="A318" s="6" t="n">
        <f>IF(A52="","",A52)</f>
        <v>46</v>
      </c>
      <c r="B318" s="7" t="n">
        <f>IF(A52="","",H52)</f>
        <v>0</v>
      </c>
      <c r="C318" s="7" t="n">
        <f>IF(A52="","",I52)</f>
        <v>0</v>
      </c>
      <c r="D318" s="7" t="n">
        <f>IF(A52="","",J52)</f>
        <v>0</v>
      </c>
      <c r="E318" s="7" t="n">
        <f>IF(A52="","",K52)</f>
        <v>0</v>
      </c>
      <c r="F318" s="7" t="n">
        <f>IF(A52="","",L52)</f>
        <v>0</v>
      </c>
    </row>
    <row r="319" ht="14" customHeight="true">
      <c r="A319" s="6" t="n">
        <f>IF(A53="","",A53)</f>
        <v>47</v>
      </c>
      <c r="B319" s="7" t="n">
        <f>IF(A53="","",H53)</f>
        <v>0</v>
      </c>
      <c r="C319" s="7" t="n">
        <f>IF(A53="","",I53)</f>
        <v>0</v>
      </c>
      <c r="D319" s="7" t="n">
        <f>IF(A53="","",J53)</f>
        <v>0</v>
      </c>
      <c r="E319" s="7" t="n">
        <f>IF(A53="","",K53)</f>
        <v>0</v>
      </c>
      <c r="F319" s="7" t="n">
        <f>IF(A53="","",L53)</f>
        <v>0</v>
      </c>
    </row>
    <row r="320" ht="14" customHeight="true">
      <c r="A320" s="6" t="n">
        <f>IF(A54="","",A54)</f>
        <v>48</v>
      </c>
      <c r="B320" s="7" t="n">
        <f>IF(A54="","",H54)</f>
        <v>0</v>
      </c>
      <c r="C320" s="7" t="n">
        <f>IF(A54="","",I54)</f>
        <v>0</v>
      </c>
      <c r="D320" s="7" t="n">
        <f>IF(A54="","",J54)</f>
        <v>0</v>
      </c>
      <c r="E320" s="7" t="n">
        <f>IF(A54="","",K54)</f>
        <v>0</v>
      </c>
      <c r="F320" s="7" t="n">
        <f>IF(A54="","",L54)</f>
        <v>0</v>
      </c>
    </row>
    <row r="321" ht="14" customHeight="true">
      <c r="A321" s="6" t="str">
        <f>IF(A55="","",A55)</f>
        <v/>
      </c>
      <c r="B321" s="7" t="str">
        <f>IF(A55="","",H55)</f>
        <v/>
      </c>
      <c r="C321" s="7" t="str">
        <f>IF(A55="","",I55)</f>
        <v/>
      </c>
      <c r="D321" s="7" t="str">
        <f>IF(A55="","",J55)</f>
        <v/>
      </c>
      <c r="E321" s="7" t="str">
        <f>IF(A55="","",K55)</f>
        <v/>
      </c>
      <c r="F321" s="7" t="str">
        <f>IF(A55="","",L55)</f>
        <v/>
      </c>
    </row>
    <row r="322" ht="14" customHeight="true">
      <c r="A322" s="6" t="str">
        <f>IF(A56="","",A56)</f>
        <v/>
      </c>
      <c r="B322" s="7" t="str">
        <f>IF(A56="","",H56)</f>
        <v/>
      </c>
      <c r="C322" s="7" t="str">
        <f>IF(A56="","",I56)</f>
        <v/>
      </c>
      <c r="D322" s="7" t="str">
        <f>IF(A56="","",J56)</f>
        <v/>
      </c>
      <c r="E322" s="7" t="str">
        <f>IF(A56="","",K56)</f>
        <v/>
      </c>
      <c r="F322" s="7" t="str">
        <f>IF(A56="","",L56)</f>
        <v/>
      </c>
    </row>
    <row r="323" ht="14" customHeight="true">
      <c r="A323" s="6" t="str">
        <f>IF(A57="","",A57)</f>
        <v/>
      </c>
      <c r="B323" s="7" t="str">
        <f>IF(A57="","",H57)</f>
        <v/>
      </c>
      <c r="C323" s="7" t="str">
        <f>IF(A57="","",I57)</f>
        <v/>
      </c>
      <c r="D323" s="7" t="str">
        <f>IF(A57="","",J57)</f>
        <v/>
      </c>
      <c r="E323" s="7" t="str">
        <f>IF(A57="","",K57)</f>
        <v/>
      </c>
      <c r="F323" s="7" t="str">
        <f>IF(A57="","",L57)</f>
        <v/>
      </c>
    </row>
    <row r="324" ht="14" customHeight="true">
      <c r="A324" s="6" t="str">
        <f>IF(A58="","",A58)</f>
        <v/>
      </c>
      <c r="B324" s="7" t="str">
        <f>IF(A58="","",H58)</f>
        <v/>
      </c>
      <c r="C324" s="7" t="str">
        <f>IF(A58="","",I58)</f>
        <v/>
      </c>
      <c r="D324" s="7" t="str">
        <f>IF(A58="","",J58)</f>
        <v/>
      </c>
      <c r="E324" s="7" t="str">
        <f>IF(A58="","",K58)</f>
        <v/>
      </c>
      <c r="F324" s="7" t="str">
        <f>IF(A58="","",L58)</f>
        <v/>
      </c>
    </row>
    <row r="325" ht="14" customHeight="true">
      <c r="A325" s="6" t="str">
        <f>IF(A59="","",A59)</f>
        <v/>
      </c>
      <c r="B325" s="7" t="str">
        <f>IF(A59="","",H59)</f>
        <v/>
      </c>
      <c r="C325" s="7" t="str">
        <f>IF(A59="","",I59)</f>
        <v/>
      </c>
      <c r="D325" s="7" t="str">
        <f>IF(A59="","",J59)</f>
        <v/>
      </c>
      <c r="E325" s="7" t="str">
        <f>IF(A59="","",K59)</f>
        <v/>
      </c>
      <c r="F325" s="7" t="str">
        <f>IF(A59="","",L59)</f>
        <v/>
      </c>
    </row>
    <row r="326" ht="14" customHeight="true">
      <c r="A326" s="6" t="str">
        <f>IF(A60="","",A60)</f>
        <v/>
      </c>
      <c r="B326" s="7" t="str">
        <f>IF(A60="","",H60)</f>
        <v/>
      </c>
      <c r="C326" s="7" t="str">
        <f>IF(A60="","",I60)</f>
        <v/>
      </c>
      <c r="D326" s="7" t="str">
        <f>IF(A60="","",J60)</f>
        <v/>
      </c>
      <c r="E326" s="7" t="str">
        <f>IF(A60="","",K60)</f>
        <v/>
      </c>
      <c r="F326" s="7" t="str">
        <f>IF(A60="","",L60)</f>
        <v/>
      </c>
    </row>
    <row r="327" ht="14" customHeight="true">
      <c r="A327" s="6" t="str">
        <f>IF(A61="","",A61)</f>
        <v/>
      </c>
      <c r="B327" s="7" t="str">
        <f>IF(A61="","",H61)</f>
        <v/>
      </c>
      <c r="C327" s="7" t="str">
        <f>IF(A61="","",I61)</f>
        <v/>
      </c>
      <c r="D327" s="7" t="str">
        <f>IF(A61="","",J61)</f>
        <v/>
      </c>
      <c r="E327" s="7" t="str">
        <f>IF(A61="","",K61)</f>
        <v/>
      </c>
      <c r="F327" s="7" t="str">
        <f>IF(A61="","",L61)</f>
        <v/>
      </c>
    </row>
    <row r="328" ht="14" customHeight="true">
      <c r="A328" s="6" t="str">
        <f>IF(A62="","",A62)</f>
        <v/>
      </c>
      <c r="B328" s="7" t="str">
        <f>IF(A62="","",H62)</f>
        <v/>
      </c>
      <c r="C328" s="7" t="str">
        <f>IF(A62="","",I62)</f>
        <v/>
      </c>
      <c r="D328" s="7" t="str">
        <f>IF(A62="","",J62)</f>
        <v/>
      </c>
      <c r="E328" s="7" t="str">
        <f>IF(A62="","",K62)</f>
        <v/>
      </c>
      <c r="F328" s="7" t="str">
        <f>IF(A62="","",L62)</f>
        <v/>
      </c>
    </row>
    <row r="329" ht="14" customHeight="true">
      <c r="A329" s="6" t="str">
        <f>IF(A63="","",A63)</f>
        <v/>
      </c>
      <c r="B329" s="7" t="str">
        <f>IF(A63="","",H63)</f>
        <v/>
      </c>
      <c r="C329" s="7" t="str">
        <f>IF(A63="","",I63)</f>
        <v/>
      </c>
      <c r="D329" s="7" t="str">
        <f>IF(A63="","",J63)</f>
        <v/>
      </c>
      <c r="E329" s="7" t="str">
        <f>IF(A63="","",K63)</f>
        <v/>
      </c>
      <c r="F329" s="7" t="str">
        <f>IF(A63="","",L63)</f>
        <v/>
      </c>
    </row>
    <row r="330" ht="14" customHeight="true">
      <c r="A330" s="6" t="str">
        <f>IF(A64="","",A64)</f>
        <v/>
      </c>
      <c r="B330" s="7" t="str">
        <f>IF(A64="","",H64)</f>
        <v/>
      </c>
      <c r="C330" s="7" t="str">
        <f>IF(A64="","",I64)</f>
        <v/>
      </c>
      <c r="D330" s="7" t="str">
        <f>IF(A64="","",J64)</f>
        <v/>
      </c>
      <c r="E330" s="7" t="str">
        <f>IF(A64="","",K64)</f>
        <v/>
      </c>
      <c r="F330" s="7" t="str">
        <f>IF(A64="","",L64)</f>
        <v/>
      </c>
    </row>
    <row r="331" ht="14" customHeight="true">
      <c r="A331" s="6" t="str">
        <f>IF(A65="","",A65)</f>
        <v/>
      </c>
      <c r="B331" s="7" t="str">
        <f>IF(A65="","",H65)</f>
        <v/>
      </c>
      <c r="C331" s="7" t="str">
        <f>IF(A65="","",I65)</f>
        <v/>
      </c>
      <c r="D331" s="7" t="str">
        <f>IF(A65="","",J65)</f>
        <v/>
      </c>
      <c r="E331" s="7" t="str">
        <f>IF(A65="","",K65)</f>
        <v/>
      </c>
      <c r="F331" s="7" t="str">
        <f>IF(A65="","",L65)</f>
        <v/>
      </c>
    </row>
    <row r="332" ht="14" customHeight="true">
      <c r="A332" s="6" t="str">
        <f>IF(A66="","",A66)</f>
        <v/>
      </c>
      <c r="B332" s="7" t="str">
        <f>IF(A66="","",H66)</f>
        <v/>
      </c>
      <c r="C332" s="7" t="str">
        <f>IF(A66="","",I66)</f>
        <v/>
      </c>
      <c r="D332" s="7" t="str">
        <f>IF(A66="","",J66)</f>
        <v/>
      </c>
      <c r="E332" s="7" t="str">
        <f>IF(A66="","",K66)</f>
        <v/>
      </c>
      <c r="F332" s="7" t="str">
        <f>IF(A66="","",L66)</f>
        <v/>
      </c>
    </row>
    <row r="340" ht="24" customHeight="true">
      <c r="A340" s="1" t="str">
        <f>"Druckbereich · Zielstände A · Teil 1/2"</f>
        <v>Druckbereich · Zielstände A · Teil 1/2</v>
      </c>
    </row>
    <row r="341" ht="36" customHeight="true">
      <c r="A341" s="2" t="str">
        <f>"Mein Plan: "&amp;Ziele!$B$5&amp;IF(Ziele!$B$5=1," Monat. "," Monate. ")&amp;"Zielstände 1–3 nach der Einzahlung des Monats. Teil 2 zeigt Ziele 4–6 und die Summe aller sechs Zielstände."</f>
        <v>Mein Plan: 48 Monate. Zielstände 1–3 nach der Einzahlung des Monats. Teil 2 zeigt Ziele 4–6 und die Summe aller sechs Zielstände.</v>
      </c>
    </row>
    <row r="342" ht="33.75" customHeight="true">
      <c r="A342" s="3" t="str">
        <f>A74</f>
        <v>Monat</v>
      </c>
      <c r="B342" s="3" t="str">
        <f>B74</f>
        <v>Reserve</v>
      </c>
      <c r="C342" s="3" t="str">
        <f>C74</f>
        <v>Eigenkapital</v>
      </c>
      <c r="D342" s="3" t="str">
        <f>D74</f>
        <v>Ziel 3</v>
      </c>
    </row>
    <row r="343" ht="14" customHeight="true">
      <c r="A343" s="6" t="n">
        <f>IF(A75="","",A75)</f>
        <v>1</v>
      </c>
      <c r="B343" s="7" t="n">
        <f>IF(A75="","",B75)</f>
        <v>8200</v>
      </c>
      <c r="C343" s="7" t="n">
        <f>IF(A75="","",C75)</f>
        <v>18150</v>
      </c>
      <c r="D343" s="7" t="n">
        <f>IF(A75="","",D75)</f>
        <v>0</v>
      </c>
    </row>
    <row r="344" ht="14" customHeight="true">
      <c r="A344" s="6" t="n">
        <f>IF(A76="","",A76)</f>
        <v>2</v>
      </c>
      <c r="B344" s="7" t="n">
        <f>IF(A76="","",B76)</f>
        <v>8400</v>
      </c>
      <c r="C344" s="7" t="n">
        <f>IF(A76="","",C76)</f>
        <v>18300</v>
      </c>
      <c r="D344" s="7" t="n">
        <f>IF(A76="","",D76)</f>
        <v>0</v>
      </c>
    </row>
    <row r="345" ht="14" customHeight="true">
      <c r="A345" s="6" t="n">
        <f>IF(A77="","",A77)</f>
        <v>3</v>
      </c>
      <c r="B345" s="7" t="n">
        <f>IF(A77="","",B77)</f>
        <v>8600</v>
      </c>
      <c r="C345" s="7" t="n">
        <f>IF(A77="","",C77)</f>
        <v>18450</v>
      </c>
      <c r="D345" s="7" t="n">
        <f>IF(A77="","",D77)</f>
        <v>0</v>
      </c>
    </row>
    <row r="346" ht="14" customHeight="true">
      <c r="A346" s="6" t="n">
        <f>IF(A78="","",A78)</f>
        <v>4</v>
      </c>
      <c r="B346" s="7" t="n">
        <f>IF(A78="","",B78)</f>
        <v>8800</v>
      </c>
      <c r="C346" s="7" t="n">
        <f>IF(A78="","",C78)</f>
        <v>18600</v>
      </c>
      <c r="D346" s="7" t="n">
        <f>IF(A78="","",D78)</f>
        <v>0</v>
      </c>
    </row>
    <row r="347" ht="14" customHeight="true">
      <c r="A347" s="6" t="n">
        <f>IF(A79="","",A79)</f>
        <v>5</v>
      </c>
      <c r="B347" s="7" t="n">
        <f>IF(A79="","",B79)</f>
        <v>9000</v>
      </c>
      <c r="C347" s="7" t="n">
        <f>IF(A79="","",C79)</f>
        <v>18750</v>
      </c>
      <c r="D347" s="7" t="n">
        <f>IF(A79="","",D79)</f>
        <v>0</v>
      </c>
    </row>
    <row r="348" ht="14" customHeight="true">
      <c r="A348" s="6" t="n">
        <f>IF(A80="","",A80)</f>
        <v>6</v>
      </c>
      <c r="B348" s="7" t="n">
        <f>IF(A80="","",B80)</f>
        <v>9200</v>
      </c>
      <c r="C348" s="7" t="n">
        <f>IF(A80="","",C80)</f>
        <v>18900</v>
      </c>
      <c r="D348" s="7" t="n">
        <f>IF(A80="","",D80)</f>
        <v>0</v>
      </c>
    </row>
    <row r="349" ht="14" customHeight="true">
      <c r="A349" s="6" t="n">
        <f>IF(A81="","",A81)</f>
        <v>7</v>
      </c>
      <c r="B349" s="7" t="n">
        <f>IF(A81="","",B81)</f>
        <v>9400</v>
      </c>
      <c r="C349" s="7" t="n">
        <f>IF(A81="","",C81)</f>
        <v>19050</v>
      </c>
      <c r="D349" s="7" t="n">
        <f>IF(A81="","",D81)</f>
        <v>0</v>
      </c>
    </row>
    <row r="350" ht="14" customHeight="true">
      <c r="A350" s="6" t="n">
        <f>IF(A82="","",A82)</f>
        <v>8</v>
      </c>
      <c r="B350" s="7" t="n">
        <f>IF(A82="","",B82)</f>
        <v>9600</v>
      </c>
      <c r="C350" s="7" t="n">
        <f>IF(A82="","",C82)</f>
        <v>19200</v>
      </c>
      <c r="D350" s="7" t="n">
        <f>IF(A82="","",D82)</f>
        <v>0</v>
      </c>
    </row>
    <row r="351" ht="14" customHeight="true">
      <c r="A351" s="6" t="n">
        <f>IF(A83="","",A83)</f>
        <v>9</v>
      </c>
      <c r="B351" s="7" t="n">
        <f>IF(A83="","",B83)</f>
        <v>9800</v>
      </c>
      <c r="C351" s="7" t="n">
        <f>IF(A83="","",C83)</f>
        <v>19350</v>
      </c>
      <c r="D351" s="7" t="n">
        <f>IF(A83="","",D83)</f>
        <v>0</v>
      </c>
    </row>
    <row r="352" ht="14" customHeight="true">
      <c r="A352" s="6" t="n">
        <f>IF(A84="","",A84)</f>
        <v>10</v>
      </c>
      <c r="B352" s="7" t="n">
        <f>IF(A84="","",B84)</f>
        <v>10000</v>
      </c>
      <c r="C352" s="7" t="n">
        <f>IF(A84="","",C84)</f>
        <v>19500</v>
      </c>
      <c r="D352" s="7" t="n">
        <f>IF(A84="","",D84)</f>
        <v>0</v>
      </c>
    </row>
    <row r="353" ht="14" customHeight="true">
      <c r="A353" s="6" t="n">
        <f>IF(A85="","",A85)</f>
        <v>11</v>
      </c>
      <c r="B353" s="7" t="n">
        <f>IF(A85="","",B85)</f>
        <v>10000</v>
      </c>
      <c r="C353" s="7" t="n">
        <f>IF(A85="","",C85)</f>
        <v>19850</v>
      </c>
      <c r="D353" s="7" t="n">
        <f>IF(A85="","",D85)</f>
        <v>0</v>
      </c>
    </row>
    <row r="354" ht="14" customHeight="true">
      <c r="A354" s="6" t="n">
        <f>IF(A86="","",A86)</f>
        <v>12</v>
      </c>
      <c r="B354" s="7" t="n">
        <f>IF(A86="","",B86)</f>
        <v>10000</v>
      </c>
      <c r="C354" s="7" t="n">
        <f>IF(A86="","",C86)</f>
        <v>20200</v>
      </c>
      <c r="D354" s="7" t="n">
        <f>IF(A86="","",D86)</f>
        <v>0</v>
      </c>
    </row>
    <row r="355" ht="14" customHeight="true">
      <c r="A355" s="6" t="n">
        <f>IF(A87="","",A87)</f>
        <v>13</v>
      </c>
      <c r="B355" s="7" t="n">
        <f>IF(A87="","",B87)</f>
        <v>10000</v>
      </c>
      <c r="C355" s="7" t="n">
        <f>IF(A87="","",C87)</f>
        <v>20550</v>
      </c>
      <c r="D355" s="7" t="n">
        <f>IF(A87="","",D87)</f>
        <v>0</v>
      </c>
    </row>
    <row r="356" ht="14" customHeight="true">
      <c r="A356" s="6" t="n">
        <f>IF(A88="","",A88)</f>
        <v>14</v>
      </c>
      <c r="B356" s="7" t="n">
        <f>IF(A88="","",B88)</f>
        <v>10000</v>
      </c>
      <c r="C356" s="7" t="n">
        <f>IF(A88="","",C88)</f>
        <v>20900</v>
      </c>
      <c r="D356" s="7" t="n">
        <f>IF(A88="","",D88)</f>
        <v>0</v>
      </c>
    </row>
    <row r="357" ht="14" customHeight="true">
      <c r="A357" s="6" t="n">
        <f>IF(A89="","",A89)</f>
        <v>15</v>
      </c>
      <c r="B357" s="7" t="n">
        <f>IF(A89="","",B89)</f>
        <v>10000</v>
      </c>
      <c r="C357" s="7" t="n">
        <f>IF(A89="","",C89)</f>
        <v>21250</v>
      </c>
      <c r="D357" s="7" t="n">
        <f>IF(A89="","",D89)</f>
        <v>0</v>
      </c>
    </row>
    <row r="358" ht="14" customHeight="true">
      <c r="A358" s="6" t="n">
        <f>IF(A90="","",A90)</f>
        <v>16</v>
      </c>
      <c r="B358" s="7" t="n">
        <f>IF(A90="","",B90)</f>
        <v>10000</v>
      </c>
      <c r="C358" s="7" t="n">
        <f>IF(A90="","",C90)</f>
        <v>21600</v>
      </c>
      <c r="D358" s="7" t="n">
        <f>IF(A90="","",D90)</f>
        <v>0</v>
      </c>
    </row>
    <row r="359" ht="14" customHeight="true">
      <c r="A359" s="6" t="n">
        <f>IF(A91="","",A91)</f>
        <v>17</v>
      </c>
      <c r="B359" s="7" t="n">
        <f>IF(A91="","",B91)</f>
        <v>10000</v>
      </c>
      <c r="C359" s="7" t="n">
        <f>IF(A91="","",C91)</f>
        <v>21950</v>
      </c>
      <c r="D359" s="7" t="n">
        <f>IF(A91="","",D91)</f>
        <v>0</v>
      </c>
    </row>
    <row r="360" ht="14" customHeight="true">
      <c r="A360" s="6" t="n">
        <f>IF(A92="","",A92)</f>
        <v>18</v>
      </c>
      <c r="B360" s="7" t="n">
        <f>IF(A92="","",B92)</f>
        <v>10000</v>
      </c>
      <c r="C360" s="7" t="n">
        <f>IF(A92="","",C92)</f>
        <v>22300</v>
      </c>
      <c r="D360" s="7" t="n">
        <f>IF(A92="","",D92)</f>
        <v>0</v>
      </c>
    </row>
    <row r="361" ht="14" customHeight="true">
      <c r="A361" s="6" t="n">
        <f>IF(A93="","",A93)</f>
        <v>19</v>
      </c>
      <c r="B361" s="7" t="n">
        <f>IF(A93="","",B93)</f>
        <v>10000</v>
      </c>
      <c r="C361" s="7" t="n">
        <f>IF(A93="","",C93)</f>
        <v>22650</v>
      </c>
      <c r="D361" s="7" t="n">
        <f>IF(A93="","",D93)</f>
        <v>0</v>
      </c>
    </row>
    <row r="362" ht="14" customHeight="true">
      <c r="A362" s="6" t="n">
        <f>IF(A94="","",A94)</f>
        <v>20</v>
      </c>
      <c r="B362" s="7" t="n">
        <f>IF(A94="","",B94)</f>
        <v>10000</v>
      </c>
      <c r="C362" s="7" t="n">
        <f>IF(A94="","",C94)</f>
        <v>23000</v>
      </c>
      <c r="D362" s="7" t="n">
        <f>IF(A94="","",D94)</f>
        <v>0</v>
      </c>
    </row>
    <row r="363" ht="14" customHeight="true">
      <c r="A363" s="6" t="n">
        <f>IF(A95="","",A95)</f>
        <v>21</v>
      </c>
      <c r="B363" s="7" t="n">
        <f>IF(A95="","",B95)</f>
        <v>10000</v>
      </c>
      <c r="C363" s="7" t="n">
        <f>IF(A95="","",C95)</f>
        <v>23350</v>
      </c>
      <c r="D363" s="7" t="n">
        <f>IF(A95="","",D95)</f>
        <v>0</v>
      </c>
    </row>
    <row r="364" ht="14" customHeight="true">
      <c r="A364" s="6" t="n">
        <f>IF(A96="","",A96)</f>
        <v>22</v>
      </c>
      <c r="B364" s="7" t="n">
        <f>IF(A96="","",B96)</f>
        <v>10000</v>
      </c>
      <c r="C364" s="7" t="n">
        <f>IF(A96="","",C96)</f>
        <v>23700</v>
      </c>
      <c r="D364" s="7" t="n">
        <f>IF(A96="","",D96)</f>
        <v>0</v>
      </c>
    </row>
    <row r="365" ht="14" customHeight="true">
      <c r="A365" s="6" t="n">
        <f>IF(A97="","",A97)</f>
        <v>23</v>
      </c>
      <c r="B365" s="7" t="n">
        <f>IF(A97="","",B97)</f>
        <v>10000</v>
      </c>
      <c r="C365" s="7" t="n">
        <f>IF(A97="","",C97)</f>
        <v>24050</v>
      </c>
      <c r="D365" s="7" t="n">
        <f>IF(A97="","",D97)</f>
        <v>0</v>
      </c>
    </row>
    <row r="366" ht="14" customHeight="true">
      <c r="A366" s="6" t="n">
        <f>IF(A98="","",A98)</f>
        <v>24</v>
      </c>
      <c r="B366" s="7" t="n">
        <f>IF(A98="","",B98)</f>
        <v>10000</v>
      </c>
      <c r="C366" s="7" t="n">
        <f>IF(A98="","",C98)</f>
        <v>24400</v>
      </c>
      <c r="D366" s="7" t="n">
        <f>IF(A98="","",D98)</f>
        <v>0</v>
      </c>
    </row>
    <row r="367" ht="14" customHeight="true">
      <c r="A367" s="6" t="n">
        <f>IF(A99="","",A99)</f>
        <v>25</v>
      </c>
      <c r="B367" s="7" t="n">
        <f>IF(A99="","",B99)</f>
        <v>10000</v>
      </c>
      <c r="C367" s="7" t="n">
        <f>IF(A99="","",C99)</f>
        <v>24750</v>
      </c>
      <c r="D367" s="7" t="n">
        <f>IF(A99="","",D99)</f>
        <v>0</v>
      </c>
    </row>
    <row r="368" ht="14" customHeight="true">
      <c r="A368" s="6" t="n">
        <f>IF(A100="","",A100)</f>
        <v>26</v>
      </c>
      <c r="B368" s="7" t="n">
        <f>IF(A100="","",B100)</f>
        <v>10000</v>
      </c>
      <c r="C368" s="7" t="n">
        <f>IF(A100="","",C100)</f>
        <v>25100</v>
      </c>
      <c r="D368" s="7" t="n">
        <f>IF(A100="","",D100)</f>
        <v>0</v>
      </c>
    </row>
    <row r="369" ht="14" customHeight="true">
      <c r="A369" s="6" t="n">
        <f>IF(A101="","",A101)</f>
        <v>27</v>
      </c>
      <c r="B369" s="7" t="n">
        <f>IF(A101="","",B101)</f>
        <v>10000</v>
      </c>
      <c r="C369" s="7" t="n">
        <f>IF(A101="","",C101)</f>
        <v>25450</v>
      </c>
      <c r="D369" s="7" t="n">
        <f>IF(A101="","",D101)</f>
        <v>0</v>
      </c>
    </row>
    <row r="370" ht="14" customHeight="true">
      <c r="A370" s="6" t="n">
        <f>IF(A102="","",A102)</f>
        <v>28</v>
      </c>
      <c r="B370" s="7" t="n">
        <f>IF(A102="","",B102)</f>
        <v>10000</v>
      </c>
      <c r="C370" s="7" t="n">
        <f>IF(A102="","",C102)</f>
        <v>25800</v>
      </c>
      <c r="D370" s="7" t="n">
        <f>IF(A102="","",D102)</f>
        <v>0</v>
      </c>
    </row>
    <row r="371" ht="14" customHeight="true">
      <c r="A371" s="6" t="n">
        <f>IF(A103="","",A103)</f>
        <v>29</v>
      </c>
      <c r="B371" s="7" t="n">
        <f>IF(A103="","",B103)</f>
        <v>10000</v>
      </c>
      <c r="C371" s="7" t="n">
        <f>IF(A103="","",C103)</f>
        <v>26150</v>
      </c>
      <c r="D371" s="7" t="n">
        <f>IF(A103="","",D103)</f>
        <v>0</v>
      </c>
    </row>
    <row r="372" ht="14" customHeight="true">
      <c r="A372" s="6" t="n">
        <f>IF(A104="","",A104)</f>
        <v>30</v>
      </c>
      <c r="B372" s="7" t="n">
        <f>IF(A104="","",B104)</f>
        <v>10000</v>
      </c>
      <c r="C372" s="7" t="n">
        <f>IF(A104="","",C104)</f>
        <v>26500</v>
      </c>
      <c r="D372" s="7" t="n">
        <f>IF(A104="","",D104)</f>
        <v>0</v>
      </c>
    </row>
    <row r="373" ht="14" customHeight="true">
      <c r="A373" s="6" t="n">
        <f>IF(A105="","",A105)</f>
        <v>31</v>
      </c>
      <c r="B373" s="7" t="n">
        <f>IF(A105="","",B105)</f>
        <v>10000</v>
      </c>
      <c r="C373" s="7" t="n">
        <f>IF(A105="","",C105)</f>
        <v>26850</v>
      </c>
      <c r="D373" s="7" t="n">
        <f>IF(A105="","",D105)</f>
        <v>0</v>
      </c>
    </row>
    <row r="374" ht="14" customHeight="true">
      <c r="A374" s="6" t="n">
        <f>IF(A106="","",A106)</f>
        <v>32</v>
      </c>
      <c r="B374" s="7" t="n">
        <f>IF(A106="","",B106)</f>
        <v>10000</v>
      </c>
      <c r="C374" s="7" t="n">
        <f>IF(A106="","",C106)</f>
        <v>27200</v>
      </c>
      <c r="D374" s="7" t="n">
        <f>IF(A106="","",D106)</f>
        <v>0</v>
      </c>
    </row>
    <row r="375" ht="14" customHeight="true">
      <c r="A375" s="6" t="n">
        <f>IF(A107="","",A107)</f>
        <v>33</v>
      </c>
      <c r="B375" s="7" t="n">
        <f>IF(A107="","",B107)</f>
        <v>10000</v>
      </c>
      <c r="C375" s="7" t="n">
        <f>IF(A107="","",C107)</f>
        <v>27550</v>
      </c>
      <c r="D375" s="7" t="n">
        <f>IF(A107="","",D107)</f>
        <v>0</v>
      </c>
    </row>
    <row r="376" ht="14" customHeight="true">
      <c r="A376" s="6" t="n">
        <f>IF(A108="","",A108)</f>
        <v>34</v>
      </c>
      <c r="B376" s="7" t="n">
        <f>IF(A108="","",B108)</f>
        <v>10000</v>
      </c>
      <c r="C376" s="7" t="n">
        <f>IF(A108="","",C108)</f>
        <v>27900</v>
      </c>
      <c r="D376" s="7" t="n">
        <f>IF(A108="","",D108)</f>
        <v>0</v>
      </c>
    </row>
    <row r="377" ht="14" customHeight="true">
      <c r="A377" s="6" t="n">
        <f>IF(A109="","",A109)</f>
        <v>35</v>
      </c>
      <c r="B377" s="7" t="n">
        <f>IF(A109="","",B109)</f>
        <v>10000</v>
      </c>
      <c r="C377" s="7" t="n">
        <f>IF(A109="","",C109)</f>
        <v>28250</v>
      </c>
      <c r="D377" s="7" t="n">
        <f>IF(A109="","",D109)</f>
        <v>0</v>
      </c>
    </row>
    <row r="378" ht="14" customHeight="true">
      <c r="A378" s="6" t="n">
        <f>IF(A110="","",A110)</f>
        <v>36</v>
      </c>
      <c r="B378" s="7" t="n">
        <f>IF(A110="","",B110)</f>
        <v>10000</v>
      </c>
      <c r="C378" s="7" t="n">
        <f>IF(A110="","",C110)</f>
        <v>28600</v>
      </c>
      <c r="D378" s="7" t="n">
        <f>IF(A110="","",D110)</f>
        <v>0</v>
      </c>
    </row>
    <row r="379" ht="14" customHeight="true">
      <c r="A379" s="6" t="n">
        <f>IF(A111="","",A111)</f>
        <v>37</v>
      </c>
      <c r="B379" s="7" t="n">
        <f>IF(A111="","",B111)</f>
        <v>10000</v>
      </c>
      <c r="C379" s="7" t="n">
        <f>IF(A111="","",C111)</f>
        <v>28950</v>
      </c>
      <c r="D379" s="7" t="n">
        <f>IF(A111="","",D111)</f>
        <v>0</v>
      </c>
    </row>
    <row r="380" ht="14" customHeight="true">
      <c r="A380" s="6" t="n">
        <f>IF(A112="","",A112)</f>
        <v>38</v>
      </c>
      <c r="B380" s="7" t="n">
        <f>IF(A112="","",B112)</f>
        <v>10000</v>
      </c>
      <c r="C380" s="7" t="n">
        <f>IF(A112="","",C112)</f>
        <v>29300</v>
      </c>
      <c r="D380" s="7" t="n">
        <f>IF(A112="","",D112)</f>
        <v>0</v>
      </c>
    </row>
    <row r="381" ht="14" customHeight="true">
      <c r="A381" s="6" t="n">
        <f>IF(A113="","",A113)</f>
        <v>39</v>
      </c>
      <c r="B381" s="7" t="n">
        <f>IF(A113="","",B113)</f>
        <v>10000</v>
      </c>
      <c r="C381" s="7" t="n">
        <f>IF(A113="","",C113)</f>
        <v>29650</v>
      </c>
      <c r="D381" s="7" t="n">
        <f>IF(A113="","",D113)</f>
        <v>0</v>
      </c>
    </row>
    <row r="382" ht="14" customHeight="true">
      <c r="A382" s="6" t="n">
        <f>IF(A114="","",A114)</f>
        <v>40</v>
      </c>
      <c r="B382" s="7" t="n">
        <f>IF(A114="","",B114)</f>
        <v>10000</v>
      </c>
      <c r="C382" s="7" t="n">
        <f>IF(A114="","",C114)</f>
        <v>30000</v>
      </c>
      <c r="D382" s="7" t="n">
        <f>IF(A114="","",D114)</f>
        <v>0</v>
      </c>
    </row>
    <row r="383" ht="14" customHeight="true">
      <c r="A383" s="6" t="n">
        <f>IF(A115="","",A115)</f>
        <v>41</v>
      </c>
      <c r="B383" s="7" t="n">
        <f>IF(A115="","",B115)</f>
        <v>10000</v>
      </c>
      <c r="C383" s="7" t="n">
        <f>IF(A115="","",C115)</f>
        <v>30350</v>
      </c>
      <c r="D383" s="7" t="n">
        <f>IF(A115="","",D115)</f>
        <v>0</v>
      </c>
    </row>
    <row r="384" ht="14" customHeight="true">
      <c r="A384" s="6" t="n">
        <f>IF(A116="","",A116)</f>
        <v>42</v>
      </c>
      <c r="B384" s="7" t="n">
        <f>IF(A116="","",B116)</f>
        <v>10000</v>
      </c>
      <c r="C384" s="7" t="n">
        <f>IF(A116="","",C116)</f>
        <v>30700</v>
      </c>
      <c r="D384" s="7" t="n">
        <f>IF(A116="","",D116)</f>
        <v>0</v>
      </c>
    </row>
    <row r="385" ht="14" customHeight="true">
      <c r="A385" s="6" t="n">
        <f>IF(A117="","",A117)</f>
        <v>43</v>
      </c>
      <c r="B385" s="7" t="n">
        <f>IF(A117="","",B117)</f>
        <v>10000</v>
      </c>
      <c r="C385" s="7" t="n">
        <f>IF(A117="","",C117)</f>
        <v>31050</v>
      </c>
      <c r="D385" s="7" t="n">
        <f>IF(A117="","",D117)</f>
        <v>0</v>
      </c>
    </row>
    <row r="386" ht="14" customHeight="true">
      <c r="A386" s="6" t="n">
        <f>IF(A118="","",A118)</f>
        <v>44</v>
      </c>
      <c r="B386" s="7" t="n">
        <f>IF(A118="","",B118)</f>
        <v>10000</v>
      </c>
      <c r="C386" s="7" t="n">
        <f>IF(A118="","",C118)</f>
        <v>31400</v>
      </c>
      <c r="D386" s="7" t="n">
        <f>IF(A118="","",D118)</f>
        <v>0</v>
      </c>
    </row>
    <row r="387" ht="14" customHeight="true">
      <c r="A387" s="6" t="n">
        <f>IF(A119="","",A119)</f>
        <v>45</v>
      </c>
      <c r="B387" s="7" t="n">
        <f>IF(A119="","",B119)</f>
        <v>10000</v>
      </c>
      <c r="C387" s="7" t="n">
        <f>IF(A119="","",C119)</f>
        <v>31750</v>
      </c>
      <c r="D387" s="7" t="n">
        <f>IF(A119="","",D119)</f>
        <v>0</v>
      </c>
    </row>
    <row r="388" ht="14" customHeight="true">
      <c r="A388" s="6" t="n">
        <f>IF(A120="","",A120)</f>
        <v>46</v>
      </c>
      <c r="B388" s="7" t="n">
        <f>IF(A120="","",B120)</f>
        <v>10000</v>
      </c>
      <c r="C388" s="7" t="n">
        <f>IF(A120="","",C120)</f>
        <v>32100</v>
      </c>
      <c r="D388" s="7" t="n">
        <f>IF(A120="","",D120)</f>
        <v>0</v>
      </c>
    </row>
    <row r="389" ht="14" customHeight="true">
      <c r="A389" s="6" t="n">
        <f>IF(A121="","",A121)</f>
        <v>47</v>
      </c>
      <c r="B389" s="7" t="n">
        <f>IF(A121="","",B121)</f>
        <v>10000</v>
      </c>
      <c r="C389" s="7" t="n">
        <f>IF(A121="","",C121)</f>
        <v>32450</v>
      </c>
      <c r="D389" s="7" t="n">
        <f>IF(A121="","",D121)</f>
        <v>0</v>
      </c>
    </row>
    <row r="390" ht="14" customHeight="true">
      <c r="A390" s="6" t="n">
        <f>IF(A122="","",A122)</f>
        <v>48</v>
      </c>
      <c r="B390" s="7" t="n">
        <f>IF(A122="","",B122)</f>
        <v>10000</v>
      </c>
      <c r="C390" s="7" t="n">
        <f>IF(A122="","",C122)</f>
        <v>32800</v>
      </c>
      <c r="D390" s="7" t="n">
        <f>IF(A122="","",D122)</f>
        <v>0</v>
      </c>
    </row>
    <row r="391" ht="14" customHeight="true">
      <c r="A391" s="6" t="str">
        <f>IF(A123="","",A123)</f>
        <v/>
      </c>
      <c r="B391" s="7" t="str">
        <f>IF(A123="","",B123)</f>
        <v/>
      </c>
      <c r="C391" s="7" t="str">
        <f>IF(A123="","",C123)</f>
        <v/>
      </c>
      <c r="D391" s="7" t="str">
        <f>IF(A123="","",D123)</f>
        <v/>
      </c>
    </row>
    <row r="392" ht="14" customHeight="true">
      <c r="A392" s="6" t="str">
        <f>IF(A124="","",A124)</f>
        <v/>
      </c>
      <c r="B392" s="7" t="str">
        <f>IF(A124="","",B124)</f>
        <v/>
      </c>
      <c r="C392" s="7" t="str">
        <f>IF(A124="","",C124)</f>
        <v/>
      </c>
      <c r="D392" s="7" t="str">
        <f>IF(A124="","",D124)</f>
        <v/>
      </c>
    </row>
    <row r="393" ht="14" customHeight="true">
      <c r="A393" s="6" t="str">
        <f>IF(A125="","",A125)</f>
        <v/>
      </c>
      <c r="B393" s="7" t="str">
        <f>IF(A125="","",B125)</f>
        <v/>
      </c>
      <c r="C393" s="7" t="str">
        <f>IF(A125="","",C125)</f>
        <v/>
      </c>
      <c r="D393" s="7" t="str">
        <f>IF(A125="","",D125)</f>
        <v/>
      </c>
    </row>
    <row r="394" ht="14" customHeight="true">
      <c r="A394" s="6" t="str">
        <f>IF(A126="","",A126)</f>
        <v/>
      </c>
      <c r="B394" s="7" t="str">
        <f>IF(A126="","",B126)</f>
        <v/>
      </c>
      <c r="C394" s="7" t="str">
        <f>IF(A126="","",C126)</f>
        <v/>
      </c>
      <c r="D394" s="7" t="str">
        <f>IF(A126="","",D126)</f>
        <v/>
      </c>
    </row>
    <row r="395" ht="14" customHeight="true">
      <c r="A395" s="6" t="str">
        <f>IF(A127="","",A127)</f>
        <v/>
      </c>
      <c r="B395" s="7" t="str">
        <f>IF(A127="","",B127)</f>
        <v/>
      </c>
      <c r="C395" s="7" t="str">
        <f>IF(A127="","",C127)</f>
        <v/>
      </c>
      <c r="D395" s="7" t="str">
        <f>IF(A127="","",D127)</f>
        <v/>
      </c>
    </row>
    <row r="396" ht="14" customHeight="true">
      <c r="A396" s="6" t="str">
        <f>IF(A128="","",A128)</f>
        <v/>
      </c>
      <c r="B396" s="7" t="str">
        <f>IF(A128="","",B128)</f>
        <v/>
      </c>
      <c r="C396" s="7" t="str">
        <f>IF(A128="","",C128)</f>
        <v/>
      </c>
      <c r="D396" s="7" t="str">
        <f>IF(A128="","",D128)</f>
        <v/>
      </c>
    </row>
    <row r="397" ht="14" customHeight="true">
      <c r="A397" s="6" t="str">
        <f>IF(A129="","",A129)</f>
        <v/>
      </c>
      <c r="B397" s="7" t="str">
        <f>IF(A129="","",B129)</f>
        <v/>
      </c>
      <c r="C397" s="7" t="str">
        <f>IF(A129="","",C129)</f>
        <v/>
      </c>
      <c r="D397" s="7" t="str">
        <f>IF(A129="","",D129)</f>
        <v/>
      </c>
    </row>
    <row r="398" ht="14" customHeight="true">
      <c r="A398" s="6" t="str">
        <f>IF(A130="","",A130)</f>
        <v/>
      </c>
      <c r="B398" s="7" t="str">
        <f>IF(A130="","",B130)</f>
        <v/>
      </c>
      <c r="C398" s="7" t="str">
        <f>IF(A130="","",C130)</f>
        <v/>
      </c>
      <c r="D398" s="7" t="str">
        <f>IF(A130="","",D130)</f>
        <v/>
      </c>
    </row>
    <row r="399" ht="14" customHeight="true">
      <c r="A399" s="6" t="str">
        <f>IF(A131="","",A131)</f>
        <v/>
      </c>
      <c r="B399" s="7" t="str">
        <f>IF(A131="","",B131)</f>
        <v/>
      </c>
      <c r="C399" s="7" t="str">
        <f>IF(A131="","",C131)</f>
        <v/>
      </c>
      <c r="D399" s="7" t="str">
        <f>IF(A131="","",D131)</f>
        <v/>
      </c>
    </row>
    <row r="400" ht="14" customHeight="true">
      <c r="A400" s="6" t="str">
        <f>IF(A132="","",A132)</f>
        <v/>
      </c>
      <c r="B400" s="7" t="str">
        <f>IF(A132="","",B132)</f>
        <v/>
      </c>
      <c r="C400" s="7" t="str">
        <f>IF(A132="","",C132)</f>
        <v/>
      </c>
      <c r="D400" s="7" t="str">
        <f>IF(A132="","",D132)</f>
        <v/>
      </c>
    </row>
    <row r="401" ht="14" customHeight="true">
      <c r="A401" s="6" t="str">
        <f>IF(A133="","",A133)</f>
        <v/>
      </c>
      <c r="B401" s="7" t="str">
        <f>IF(A133="","",B133)</f>
        <v/>
      </c>
      <c r="C401" s="7" t="str">
        <f>IF(A133="","",C133)</f>
        <v/>
      </c>
      <c r="D401" s="7" t="str">
        <f>IF(A133="","",D133)</f>
        <v/>
      </c>
    </row>
    <row r="402" ht="14" customHeight="true">
      <c r="A402" s="6" t="str">
        <f>IF(A134="","",A134)</f>
        <v/>
      </c>
      <c r="B402" s="7" t="str">
        <f>IF(A134="","",B134)</f>
        <v/>
      </c>
      <c r="C402" s="7" t="str">
        <f>IF(A134="","",C134)</f>
        <v/>
      </c>
      <c r="D402" s="7" t="str">
        <f>IF(A134="","",D134)</f>
        <v/>
      </c>
    </row>
    <row r="410" ht="24" customHeight="true">
      <c r="A410" s="1" t="str">
        <f>"Druckbereich · Zielstände A · Teil 2/2"</f>
        <v>Druckbereich · Zielstände A · Teil 2/2</v>
      </c>
    </row>
    <row r="411" ht="36" customHeight="true">
      <c r="A411" s="2" t="str">
        <f>"Mein Plan: "&amp;Ziele!$B$5&amp;IF(Ziele!$B$5=1," Monat. "," Monate. ")&amp;"Zielstände 4–6. Zusammen umfasst alle sechs Zielstände aus beiden Teilen. Weitere Pläne bleiben getrennt."</f>
        <v>Mein Plan: 48 Monate. Zielstände 4–6. Zusammen umfasst alle sechs Zielstände aus beiden Teilen. Weitere Pläne bleiben getrennt.</v>
      </c>
    </row>
    <row r="412" ht="33.75" customHeight="true">
      <c r="A412" s="3" t="str">
        <f>A74</f>
        <v>Monat</v>
      </c>
      <c r="B412" s="3" t="str">
        <f>E74</f>
        <v>Ziel 4</v>
      </c>
      <c r="C412" s="3" t="str">
        <f>F74</f>
        <v>Ziel 5</v>
      </c>
      <c r="D412" s="3" t="str">
        <f>G74</f>
        <v>Ziel 6</v>
      </c>
      <c r="E412" s="3" t="str">
        <f>H74</f>
        <v>Zusammen</v>
      </c>
    </row>
    <row r="413" ht="14" customHeight="true">
      <c r="A413" s="6" t="n">
        <f>IF(A75="","",A75)</f>
        <v>1</v>
      </c>
      <c r="B413" s="7" t="n">
        <f>IF(A75="","",E75)</f>
        <v>0</v>
      </c>
      <c r="C413" s="7" t="n">
        <f>IF(A75="","",F75)</f>
        <v>0</v>
      </c>
      <c r="D413" s="7" t="n">
        <f>IF(A75="","",G75)</f>
        <v>0</v>
      </c>
      <c r="E413" s="7" t="n">
        <f>IF(A75="","",H75)</f>
        <v>26350</v>
      </c>
    </row>
    <row r="414" ht="14" customHeight="true">
      <c r="A414" s="6" t="n">
        <f>IF(A76="","",A76)</f>
        <v>2</v>
      </c>
      <c r="B414" s="7" t="n">
        <f>IF(A76="","",E76)</f>
        <v>0</v>
      </c>
      <c r="C414" s="7" t="n">
        <f>IF(A76="","",F76)</f>
        <v>0</v>
      </c>
      <c r="D414" s="7" t="n">
        <f>IF(A76="","",G76)</f>
        <v>0</v>
      </c>
      <c r="E414" s="7" t="n">
        <f>IF(A76="","",H76)</f>
        <v>26700</v>
      </c>
    </row>
    <row r="415" ht="14" customHeight="true">
      <c r="A415" s="6" t="n">
        <f>IF(A77="","",A77)</f>
        <v>3</v>
      </c>
      <c r="B415" s="7" t="n">
        <f>IF(A77="","",E77)</f>
        <v>0</v>
      </c>
      <c r="C415" s="7" t="n">
        <f>IF(A77="","",F77)</f>
        <v>0</v>
      </c>
      <c r="D415" s="7" t="n">
        <f>IF(A77="","",G77)</f>
        <v>0</v>
      </c>
      <c r="E415" s="7" t="n">
        <f>IF(A77="","",H77)</f>
        <v>27050</v>
      </c>
    </row>
    <row r="416" ht="14" customHeight="true">
      <c r="A416" s="6" t="n">
        <f>IF(A78="","",A78)</f>
        <v>4</v>
      </c>
      <c r="B416" s="7" t="n">
        <f>IF(A78="","",E78)</f>
        <v>0</v>
      </c>
      <c r="C416" s="7" t="n">
        <f>IF(A78="","",F78)</f>
        <v>0</v>
      </c>
      <c r="D416" s="7" t="n">
        <f>IF(A78="","",G78)</f>
        <v>0</v>
      </c>
      <c r="E416" s="7" t="n">
        <f>IF(A78="","",H78)</f>
        <v>27400</v>
      </c>
    </row>
    <row r="417" ht="14" customHeight="true">
      <c r="A417" s="6" t="n">
        <f>IF(A79="","",A79)</f>
        <v>5</v>
      </c>
      <c r="B417" s="7" t="n">
        <f>IF(A79="","",E79)</f>
        <v>0</v>
      </c>
      <c r="C417" s="7" t="n">
        <f>IF(A79="","",F79)</f>
        <v>0</v>
      </c>
      <c r="D417" s="7" t="n">
        <f>IF(A79="","",G79)</f>
        <v>0</v>
      </c>
      <c r="E417" s="7" t="n">
        <f>IF(A79="","",H79)</f>
        <v>27750</v>
      </c>
    </row>
    <row r="418" ht="14" customHeight="true">
      <c r="A418" s="6" t="n">
        <f>IF(A80="","",A80)</f>
        <v>6</v>
      </c>
      <c r="B418" s="7" t="n">
        <f>IF(A80="","",E80)</f>
        <v>0</v>
      </c>
      <c r="C418" s="7" t="n">
        <f>IF(A80="","",F80)</f>
        <v>0</v>
      </c>
      <c r="D418" s="7" t="n">
        <f>IF(A80="","",G80)</f>
        <v>0</v>
      </c>
      <c r="E418" s="7" t="n">
        <f>IF(A80="","",H80)</f>
        <v>28100</v>
      </c>
    </row>
    <row r="419" ht="14" customHeight="true">
      <c r="A419" s="6" t="n">
        <f>IF(A81="","",A81)</f>
        <v>7</v>
      </c>
      <c r="B419" s="7" t="n">
        <f>IF(A81="","",E81)</f>
        <v>0</v>
      </c>
      <c r="C419" s="7" t="n">
        <f>IF(A81="","",F81)</f>
        <v>0</v>
      </c>
      <c r="D419" s="7" t="n">
        <f>IF(A81="","",G81)</f>
        <v>0</v>
      </c>
      <c r="E419" s="7" t="n">
        <f>IF(A81="","",H81)</f>
        <v>28450</v>
      </c>
    </row>
    <row r="420" ht="14" customHeight="true">
      <c r="A420" s="6" t="n">
        <f>IF(A82="","",A82)</f>
        <v>8</v>
      </c>
      <c r="B420" s="7" t="n">
        <f>IF(A82="","",E82)</f>
        <v>0</v>
      </c>
      <c r="C420" s="7" t="n">
        <f>IF(A82="","",F82)</f>
        <v>0</v>
      </c>
      <c r="D420" s="7" t="n">
        <f>IF(A82="","",G82)</f>
        <v>0</v>
      </c>
      <c r="E420" s="7" t="n">
        <f>IF(A82="","",H82)</f>
        <v>28800</v>
      </c>
    </row>
    <row r="421" ht="14" customHeight="true">
      <c r="A421" s="6" t="n">
        <f>IF(A83="","",A83)</f>
        <v>9</v>
      </c>
      <c r="B421" s="7" t="n">
        <f>IF(A83="","",E83)</f>
        <v>0</v>
      </c>
      <c r="C421" s="7" t="n">
        <f>IF(A83="","",F83)</f>
        <v>0</v>
      </c>
      <c r="D421" s="7" t="n">
        <f>IF(A83="","",G83)</f>
        <v>0</v>
      </c>
      <c r="E421" s="7" t="n">
        <f>IF(A83="","",H83)</f>
        <v>29150</v>
      </c>
    </row>
    <row r="422" ht="14" customHeight="true">
      <c r="A422" s="6" t="n">
        <f>IF(A84="","",A84)</f>
        <v>10</v>
      </c>
      <c r="B422" s="7" t="n">
        <f>IF(A84="","",E84)</f>
        <v>0</v>
      </c>
      <c r="C422" s="7" t="n">
        <f>IF(A84="","",F84)</f>
        <v>0</v>
      </c>
      <c r="D422" s="7" t="n">
        <f>IF(A84="","",G84)</f>
        <v>0</v>
      </c>
      <c r="E422" s="7" t="n">
        <f>IF(A84="","",H84)</f>
        <v>29500</v>
      </c>
    </row>
    <row r="423" ht="14" customHeight="true">
      <c r="A423" s="6" t="n">
        <f>IF(A85="","",A85)</f>
        <v>11</v>
      </c>
      <c r="B423" s="7" t="n">
        <f>IF(A85="","",E85)</f>
        <v>0</v>
      </c>
      <c r="C423" s="7" t="n">
        <f>IF(A85="","",F85)</f>
        <v>0</v>
      </c>
      <c r="D423" s="7" t="n">
        <f>IF(A85="","",G85)</f>
        <v>0</v>
      </c>
      <c r="E423" s="7" t="n">
        <f>IF(A85="","",H85)</f>
        <v>29850</v>
      </c>
    </row>
    <row r="424" ht="14" customHeight="true">
      <c r="A424" s="6" t="n">
        <f>IF(A86="","",A86)</f>
        <v>12</v>
      </c>
      <c r="B424" s="7" t="n">
        <f>IF(A86="","",E86)</f>
        <v>0</v>
      </c>
      <c r="C424" s="7" t="n">
        <f>IF(A86="","",F86)</f>
        <v>0</v>
      </c>
      <c r="D424" s="7" t="n">
        <f>IF(A86="","",G86)</f>
        <v>0</v>
      </c>
      <c r="E424" s="7" t="n">
        <f>IF(A86="","",H86)</f>
        <v>30200</v>
      </c>
    </row>
    <row r="425" ht="14" customHeight="true">
      <c r="A425" s="6" t="n">
        <f>IF(A87="","",A87)</f>
        <v>13</v>
      </c>
      <c r="B425" s="7" t="n">
        <f>IF(A87="","",E87)</f>
        <v>0</v>
      </c>
      <c r="C425" s="7" t="n">
        <f>IF(A87="","",F87)</f>
        <v>0</v>
      </c>
      <c r="D425" s="7" t="n">
        <f>IF(A87="","",G87)</f>
        <v>0</v>
      </c>
      <c r="E425" s="7" t="n">
        <f>IF(A87="","",H87)</f>
        <v>30550</v>
      </c>
    </row>
    <row r="426" ht="14" customHeight="true">
      <c r="A426" s="6" t="n">
        <f>IF(A88="","",A88)</f>
        <v>14</v>
      </c>
      <c r="B426" s="7" t="n">
        <f>IF(A88="","",E88)</f>
        <v>0</v>
      </c>
      <c r="C426" s="7" t="n">
        <f>IF(A88="","",F88)</f>
        <v>0</v>
      </c>
      <c r="D426" s="7" t="n">
        <f>IF(A88="","",G88)</f>
        <v>0</v>
      </c>
      <c r="E426" s="7" t="n">
        <f>IF(A88="","",H88)</f>
        <v>30900</v>
      </c>
    </row>
    <row r="427" ht="14" customHeight="true">
      <c r="A427" s="6" t="n">
        <f>IF(A89="","",A89)</f>
        <v>15</v>
      </c>
      <c r="B427" s="7" t="n">
        <f>IF(A89="","",E89)</f>
        <v>0</v>
      </c>
      <c r="C427" s="7" t="n">
        <f>IF(A89="","",F89)</f>
        <v>0</v>
      </c>
      <c r="D427" s="7" t="n">
        <f>IF(A89="","",G89)</f>
        <v>0</v>
      </c>
      <c r="E427" s="7" t="n">
        <f>IF(A89="","",H89)</f>
        <v>31250</v>
      </c>
    </row>
    <row r="428" ht="14" customHeight="true">
      <c r="A428" s="6" t="n">
        <f>IF(A90="","",A90)</f>
        <v>16</v>
      </c>
      <c r="B428" s="7" t="n">
        <f>IF(A90="","",E90)</f>
        <v>0</v>
      </c>
      <c r="C428" s="7" t="n">
        <f>IF(A90="","",F90)</f>
        <v>0</v>
      </c>
      <c r="D428" s="7" t="n">
        <f>IF(A90="","",G90)</f>
        <v>0</v>
      </c>
      <c r="E428" s="7" t="n">
        <f>IF(A90="","",H90)</f>
        <v>31600</v>
      </c>
    </row>
    <row r="429" ht="14" customHeight="true">
      <c r="A429" s="6" t="n">
        <f>IF(A91="","",A91)</f>
        <v>17</v>
      </c>
      <c r="B429" s="7" t="n">
        <f>IF(A91="","",E91)</f>
        <v>0</v>
      </c>
      <c r="C429" s="7" t="n">
        <f>IF(A91="","",F91)</f>
        <v>0</v>
      </c>
      <c r="D429" s="7" t="n">
        <f>IF(A91="","",G91)</f>
        <v>0</v>
      </c>
      <c r="E429" s="7" t="n">
        <f>IF(A91="","",H91)</f>
        <v>31950</v>
      </c>
    </row>
    <row r="430" ht="14" customHeight="true">
      <c r="A430" s="6" t="n">
        <f>IF(A92="","",A92)</f>
        <v>18</v>
      </c>
      <c r="B430" s="7" t="n">
        <f>IF(A92="","",E92)</f>
        <v>0</v>
      </c>
      <c r="C430" s="7" t="n">
        <f>IF(A92="","",F92)</f>
        <v>0</v>
      </c>
      <c r="D430" s="7" t="n">
        <f>IF(A92="","",G92)</f>
        <v>0</v>
      </c>
      <c r="E430" s="7" t="n">
        <f>IF(A92="","",H92)</f>
        <v>32300</v>
      </c>
    </row>
    <row r="431" ht="14" customHeight="true">
      <c r="A431" s="6" t="n">
        <f>IF(A93="","",A93)</f>
        <v>19</v>
      </c>
      <c r="B431" s="7" t="n">
        <f>IF(A93="","",E93)</f>
        <v>0</v>
      </c>
      <c r="C431" s="7" t="n">
        <f>IF(A93="","",F93)</f>
        <v>0</v>
      </c>
      <c r="D431" s="7" t="n">
        <f>IF(A93="","",G93)</f>
        <v>0</v>
      </c>
      <c r="E431" s="7" t="n">
        <f>IF(A93="","",H93)</f>
        <v>32650</v>
      </c>
    </row>
    <row r="432" ht="14" customHeight="true">
      <c r="A432" s="6" t="n">
        <f>IF(A94="","",A94)</f>
        <v>20</v>
      </c>
      <c r="B432" s="7" t="n">
        <f>IF(A94="","",E94)</f>
        <v>0</v>
      </c>
      <c r="C432" s="7" t="n">
        <f>IF(A94="","",F94)</f>
        <v>0</v>
      </c>
      <c r="D432" s="7" t="n">
        <f>IF(A94="","",G94)</f>
        <v>0</v>
      </c>
      <c r="E432" s="7" t="n">
        <f>IF(A94="","",H94)</f>
        <v>33000</v>
      </c>
    </row>
    <row r="433" ht="14" customHeight="true">
      <c r="A433" s="6" t="n">
        <f>IF(A95="","",A95)</f>
        <v>21</v>
      </c>
      <c r="B433" s="7" t="n">
        <f>IF(A95="","",E95)</f>
        <v>0</v>
      </c>
      <c r="C433" s="7" t="n">
        <f>IF(A95="","",F95)</f>
        <v>0</v>
      </c>
      <c r="D433" s="7" t="n">
        <f>IF(A95="","",G95)</f>
        <v>0</v>
      </c>
      <c r="E433" s="7" t="n">
        <f>IF(A95="","",H95)</f>
        <v>33350</v>
      </c>
    </row>
    <row r="434" ht="14" customHeight="true">
      <c r="A434" s="6" t="n">
        <f>IF(A96="","",A96)</f>
        <v>22</v>
      </c>
      <c r="B434" s="7" t="n">
        <f>IF(A96="","",E96)</f>
        <v>0</v>
      </c>
      <c r="C434" s="7" t="n">
        <f>IF(A96="","",F96)</f>
        <v>0</v>
      </c>
      <c r="D434" s="7" t="n">
        <f>IF(A96="","",G96)</f>
        <v>0</v>
      </c>
      <c r="E434" s="7" t="n">
        <f>IF(A96="","",H96)</f>
        <v>33700</v>
      </c>
    </row>
    <row r="435" ht="14" customHeight="true">
      <c r="A435" s="6" t="n">
        <f>IF(A97="","",A97)</f>
        <v>23</v>
      </c>
      <c r="B435" s="7" t="n">
        <f>IF(A97="","",E97)</f>
        <v>0</v>
      </c>
      <c r="C435" s="7" t="n">
        <f>IF(A97="","",F97)</f>
        <v>0</v>
      </c>
      <c r="D435" s="7" t="n">
        <f>IF(A97="","",G97)</f>
        <v>0</v>
      </c>
      <c r="E435" s="7" t="n">
        <f>IF(A97="","",H97)</f>
        <v>34050</v>
      </c>
    </row>
    <row r="436" ht="14" customHeight="true">
      <c r="A436" s="6" t="n">
        <f>IF(A98="","",A98)</f>
        <v>24</v>
      </c>
      <c r="B436" s="7" t="n">
        <f>IF(A98="","",E98)</f>
        <v>0</v>
      </c>
      <c r="C436" s="7" t="n">
        <f>IF(A98="","",F98)</f>
        <v>0</v>
      </c>
      <c r="D436" s="7" t="n">
        <f>IF(A98="","",G98)</f>
        <v>0</v>
      </c>
      <c r="E436" s="7" t="n">
        <f>IF(A98="","",H98)</f>
        <v>34400</v>
      </c>
    </row>
    <row r="437" ht="14" customHeight="true">
      <c r="A437" s="6" t="n">
        <f>IF(A99="","",A99)</f>
        <v>25</v>
      </c>
      <c r="B437" s="7" t="n">
        <f>IF(A99="","",E99)</f>
        <v>0</v>
      </c>
      <c r="C437" s="7" t="n">
        <f>IF(A99="","",F99)</f>
        <v>0</v>
      </c>
      <c r="D437" s="7" t="n">
        <f>IF(A99="","",G99)</f>
        <v>0</v>
      </c>
      <c r="E437" s="7" t="n">
        <f>IF(A99="","",H99)</f>
        <v>34750</v>
      </c>
    </row>
    <row r="438" ht="14" customHeight="true">
      <c r="A438" s="6" t="n">
        <f>IF(A100="","",A100)</f>
        <v>26</v>
      </c>
      <c r="B438" s="7" t="n">
        <f>IF(A100="","",E100)</f>
        <v>0</v>
      </c>
      <c r="C438" s="7" t="n">
        <f>IF(A100="","",F100)</f>
        <v>0</v>
      </c>
      <c r="D438" s="7" t="n">
        <f>IF(A100="","",G100)</f>
        <v>0</v>
      </c>
      <c r="E438" s="7" t="n">
        <f>IF(A100="","",H100)</f>
        <v>35100</v>
      </c>
    </row>
    <row r="439" ht="14" customHeight="true">
      <c r="A439" s="6" t="n">
        <f>IF(A101="","",A101)</f>
        <v>27</v>
      </c>
      <c r="B439" s="7" t="n">
        <f>IF(A101="","",E101)</f>
        <v>0</v>
      </c>
      <c r="C439" s="7" t="n">
        <f>IF(A101="","",F101)</f>
        <v>0</v>
      </c>
      <c r="D439" s="7" t="n">
        <f>IF(A101="","",G101)</f>
        <v>0</v>
      </c>
      <c r="E439" s="7" t="n">
        <f>IF(A101="","",H101)</f>
        <v>35450</v>
      </c>
    </row>
    <row r="440" ht="14" customHeight="true">
      <c r="A440" s="6" t="n">
        <f>IF(A102="","",A102)</f>
        <v>28</v>
      </c>
      <c r="B440" s="7" t="n">
        <f>IF(A102="","",E102)</f>
        <v>0</v>
      </c>
      <c r="C440" s="7" t="n">
        <f>IF(A102="","",F102)</f>
        <v>0</v>
      </c>
      <c r="D440" s="7" t="n">
        <f>IF(A102="","",G102)</f>
        <v>0</v>
      </c>
      <c r="E440" s="7" t="n">
        <f>IF(A102="","",H102)</f>
        <v>35800</v>
      </c>
    </row>
    <row r="441" ht="14" customHeight="true">
      <c r="A441" s="6" t="n">
        <f>IF(A103="","",A103)</f>
        <v>29</v>
      </c>
      <c r="B441" s="7" t="n">
        <f>IF(A103="","",E103)</f>
        <v>0</v>
      </c>
      <c r="C441" s="7" t="n">
        <f>IF(A103="","",F103)</f>
        <v>0</v>
      </c>
      <c r="D441" s="7" t="n">
        <f>IF(A103="","",G103)</f>
        <v>0</v>
      </c>
      <c r="E441" s="7" t="n">
        <f>IF(A103="","",H103)</f>
        <v>36150</v>
      </c>
    </row>
    <row r="442" ht="14" customHeight="true">
      <c r="A442" s="6" t="n">
        <f>IF(A104="","",A104)</f>
        <v>30</v>
      </c>
      <c r="B442" s="7" t="n">
        <f>IF(A104="","",E104)</f>
        <v>0</v>
      </c>
      <c r="C442" s="7" t="n">
        <f>IF(A104="","",F104)</f>
        <v>0</v>
      </c>
      <c r="D442" s="7" t="n">
        <f>IF(A104="","",G104)</f>
        <v>0</v>
      </c>
      <c r="E442" s="7" t="n">
        <f>IF(A104="","",H104)</f>
        <v>36500</v>
      </c>
    </row>
    <row r="443" ht="14" customHeight="true">
      <c r="A443" s="6" t="n">
        <f>IF(A105="","",A105)</f>
        <v>31</v>
      </c>
      <c r="B443" s="7" t="n">
        <f>IF(A105="","",E105)</f>
        <v>0</v>
      </c>
      <c r="C443" s="7" t="n">
        <f>IF(A105="","",F105)</f>
        <v>0</v>
      </c>
      <c r="D443" s="7" t="n">
        <f>IF(A105="","",G105)</f>
        <v>0</v>
      </c>
      <c r="E443" s="7" t="n">
        <f>IF(A105="","",H105)</f>
        <v>36850</v>
      </c>
    </row>
    <row r="444" ht="14" customHeight="true">
      <c r="A444" s="6" t="n">
        <f>IF(A106="","",A106)</f>
        <v>32</v>
      </c>
      <c r="B444" s="7" t="n">
        <f>IF(A106="","",E106)</f>
        <v>0</v>
      </c>
      <c r="C444" s="7" t="n">
        <f>IF(A106="","",F106)</f>
        <v>0</v>
      </c>
      <c r="D444" s="7" t="n">
        <f>IF(A106="","",G106)</f>
        <v>0</v>
      </c>
      <c r="E444" s="7" t="n">
        <f>IF(A106="","",H106)</f>
        <v>37200</v>
      </c>
    </row>
    <row r="445" ht="14" customHeight="true">
      <c r="A445" s="6" t="n">
        <f>IF(A107="","",A107)</f>
        <v>33</v>
      </c>
      <c r="B445" s="7" t="n">
        <f>IF(A107="","",E107)</f>
        <v>0</v>
      </c>
      <c r="C445" s="7" t="n">
        <f>IF(A107="","",F107)</f>
        <v>0</v>
      </c>
      <c r="D445" s="7" t="n">
        <f>IF(A107="","",G107)</f>
        <v>0</v>
      </c>
      <c r="E445" s="7" t="n">
        <f>IF(A107="","",H107)</f>
        <v>37550</v>
      </c>
    </row>
    <row r="446" ht="14" customHeight="true">
      <c r="A446" s="6" t="n">
        <f>IF(A108="","",A108)</f>
        <v>34</v>
      </c>
      <c r="B446" s="7" t="n">
        <f>IF(A108="","",E108)</f>
        <v>0</v>
      </c>
      <c r="C446" s="7" t="n">
        <f>IF(A108="","",F108)</f>
        <v>0</v>
      </c>
      <c r="D446" s="7" t="n">
        <f>IF(A108="","",G108)</f>
        <v>0</v>
      </c>
      <c r="E446" s="7" t="n">
        <f>IF(A108="","",H108)</f>
        <v>37900</v>
      </c>
    </row>
    <row r="447" ht="14" customHeight="true">
      <c r="A447" s="6" t="n">
        <f>IF(A109="","",A109)</f>
        <v>35</v>
      </c>
      <c r="B447" s="7" t="n">
        <f>IF(A109="","",E109)</f>
        <v>0</v>
      </c>
      <c r="C447" s="7" t="n">
        <f>IF(A109="","",F109)</f>
        <v>0</v>
      </c>
      <c r="D447" s="7" t="n">
        <f>IF(A109="","",G109)</f>
        <v>0</v>
      </c>
      <c r="E447" s="7" t="n">
        <f>IF(A109="","",H109)</f>
        <v>38250</v>
      </c>
    </row>
    <row r="448" ht="14" customHeight="true">
      <c r="A448" s="6" t="n">
        <f>IF(A110="","",A110)</f>
        <v>36</v>
      </c>
      <c r="B448" s="7" t="n">
        <f>IF(A110="","",E110)</f>
        <v>0</v>
      </c>
      <c r="C448" s="7" t="n">
        <f>IF(A110="","",F110)</f>
        <v>0</v>
      </c>
      <c r="D448" s="7" t="n">
        <f>IF(A110="","",G110)</f>
        <v>0</v>
      </c>
      <c r="E448" s="7" t="n">
        <f>IF(A110="","",H110)</f>
        <v>38600</v>
      </c>
    </row>
    <row r="449" ht="14" customHeight="true">
      <c r="A449" s="6" t="n">
        <f>IF(A111="","",A111)</f>
        <v>37</v>
      </c>
      <c r="B449" s="7" t="n">
        <f>IF(A111="","",E111)</f>
        <v>0</v>
      </c>
      <c r="C449" s="7" t="n">
        <f>IF(A111="","",F111)</f>
        <v>0</v>
      </c>
      <c r="D449" s="7" t="n">
        <f>IF(A111="","",G111)</f>
        <v>0</v>
      </c>
      <c r="E449" s="7" t="n">
        <f>IF(A111="","",H111)</f>
        <v>38950</v>
      </c>
    </row>
    <row r="450" ht="14" customHeight="true">
      <c r="A450" s="6" t="n">
        <f>IF(A112="","",A112)</f>
        <v>38</v>
      </c>
      <c r="B450" s="7" t="n">
        <f>IF(A112="","",E112)</f>
        <v>0</v>
      </c>
      <c r="C450" s="7" t="n">
        <f>IF(A112="","",F112)</f>
        <v>0</v>
      </c>
      <c r="D450" s="7" t="n">
        <f>IF(A112="","",G112)</f>
        <v>0</v>
      </c>
      <c r="E450" s="7" t="n">
        <f>IF(A112="","",H112)</f>
        <v>39300</v>
      </c>
    </row>
    <row r="451" ht="14" customHeight="true">
      <c r="A451" s="6" t="n">
        <f>IF(A113="","",A113)</f>
        <v>39</v>
      </c>
      <c r="B451" s="7" t="n">
        <f>IF(A113="","",E113)</f>
        <v>0</v>
      </c>
      <c r="C451" s="7" t="n">
        <f>IF(A113="","",F113)</f>
        <v>0</v>
      </c>
      <c r="D451" s="7" t="n">
        <f>IF(A113="","",G113)</f>
        <v>0</v>
      </c>
      <c r="E451" s="7" t="n">
        <f>IF(A113="","",H113)</f>
        <v>39650</v>
      </c>
    </row>
    <row r="452" ht="14" customHeight="true">
      <c r="A452" s="6" t="n">
        <f>IF(A114="","",A114)</f>
        <v>40</v>
      </c>
      <c r="B452" s="7" t="n">
        <f>IF(A114="","",E114)</f>
        <v>0</v>
      </c>
      <c r="C452" s="7" t="n">
        <f>IF(A114="","",F114)</f>
        <v>0</v>
      </c>
      <c r="D452" s="7" t="n">
        <f>IF(A114="","",G114)</f>
        <v>0</v>
      </c>
      <c r="E452" s="7" t="n">
        <f>IF(A114="","",H114)</f>
        <v>40000</v>
      </c>
    </row>
    <row r="453" ht="14" customHeight="true">
      <c r="A453" s="6" t="n">
        <f>IF(A115="","",A115)</f>
        <v>41</v>
      </c>
      <c r="B453" s="7" t="n">
        <f>IF(A115="","",E115)</f>
        <v>0</v>
      </c>
      <c r="C453" s="7" t="n">
        <f>IF(A115="","",F115)</f>
        <v>0</v>
      </c>
      <c r="D453" s="7" t="n">
        <f>IF(A115="","",G115)</f>
        <v>0</v>
      </c>
      <c r="E453" s="7" t="n">
        <f>IF(A115="","",H115)</f>
        <v>40350</v>
      </c>
    </row>
    <row r="454" ht="14" customHeight="true">
      <c r="A454" s="6" t="n">
        <f>IF(A116="","",A116)</f>
        <v>42</v>
      </c>
      <c r="B454" s="7" t="n">
        <f>IF(A116="","",E116)</f>
        <v>0</v>
      </c>
      <c r="C454" s="7" t="n">
        <f>IF(A116="","",F116)</f>
        <v>0</v>
      </c>
      <c r="D454" s="7" t="n">
        <f>IF(A116="","",G116)</f>
        <v>0</v>
      </c>
      <c r="E454" s="7" t="n">
        <f>IF(A116="","",H116)</f>
        <v>40700</v>
      </c>
    </row>
    <row r="455" ht="14" customHeight="true">
      <c r="A455" s="6" t="n">
        <f>IF(A117="","",A117)</f>
        <v>43</v>
      </c>
      <c r="B455" s="7" t="n">
        <f>IF(A117="","",E117)</f>
        <v>0</v>
      </c>
      <c r="C455" s="7" t="n">
        <f>IF(A117="","",F117)</f>
        <v>0</v>
      </c>
      <c r="D455" s="7" t="n">
        <f>IF(A117="","",G117)</f>
        <v>0</v>
      </c>
      <c r="E455" s="7" t="n">
        <f>IF(A117="","",H117)</f>
        <v>41050</v>
      </c>
    </row>
    <row r="456" ht="14" customHeight="true">
      <c r="A456" s="6" t="n">
        <f>IF(A118="","",A118)</f>
        <v>44</v>
      </c>
      <c r="B456" s="7" t="n">
        <f>IF(A118="","",E118)</f>
        <v>0</v>
      </c>
      <c r="C456" s="7" t="n">
        <f>IF(A118="","",F118)</f>
        <v>0</v>
      </c>
      <c r="D456" s="7" t="n">
        <f>IF(A118="","",G118)</f>
        <v>0</v>
      </c>
      <c r="E456" s="7" t="n">
        <f>IF(A118="","",H118)</f>
        <v>41400</v>
      </c>
    </row>
    <row r="457" ht="14" customHeight="true">
      <c r="A457" s="6" t="n">
        <f>IF(A119="","",A119)</f>
        <v>45</v>
      </c>
      <c r="B457" s="7" t="n">
        <f>IF(A119="","",E119)</f>
        <v>0</v>
      </c>
      <c r="C457" s="7" t="n">
        <f>IF(A119="","",F119)</f>
        <v>0</v>
      </c>
      <c r="D457" s="7" t="n">
        <f>IF(A119="","",G119)</f>
        <v>0</v>
      </c>
      <c r="E457" s="7" t="n">
        <f>IF(A119="","",H119)</f>
        <v>41750</v>
      </c>
    </row>
    <row r="458" ht="14" customHeight="true">
      <c r="A458" s="6" t="n">
        <f>IF(A120="","",A120)</f>
        <v>46</v>
      </c>
      <c r="B458" s="7" t="n">
        <f>IF(A120="","",E120)</f>
        <v>0</v>
      </c>
      <c r="C458" s="7" t="n">
        <f>IF(A120="","",F120)</f>
        <v>0</v>
      </c>
      <c r="D458" s="7" t="n">
        <f>IF(A120="","",G120)</f>
        <v>0</v>
      </c>
      <c r="E458" s="7" t="n">
        <f>IF(A120="","",H120)</f>
        <v>42100</v>
      </c>
    </row>
    <row r="459" ht="14" customHeight="true">
      <c r="A459" s="6" t="n">
        <f>IF(A121="","",A121)</f>
        <v>47</v>
      </c>
      <c r="B459" s="7" t="n">
        <f>IF(A121="","",E121)</f>
        <v>0</v>
      </c>
      <c r="C459" s="7" t="n">
        <f>IF(A121="","",F121)</f>
        <v>0</v>
      </c>
      <c r="D459" s="7" t="n">
        <f>IF(A121="","",G121)</f>
        <v>0</v>
      </c>
      <c r="E459" s="7" t="n">
        <f>IF(A121="","",H121)</f>
        <v>42450</v>
      </c>
    </row>
    <row r="460" ht="14" customHeight="true">
      <c r="A460" s="6" t="n">
        <f>IF(A122="","",A122)</f>
        <v>48</v>
      </c>
      <c r="B460" s="7" t="n">
        <f>IF(A122="","",E122)</f>
        <v>0</v>
      </c>
      <c r="C460" s="7" t="n">
        <f>IF(A122="","",F122)</f>
        <v>0</v>
      </c>
      <c r="D460" s="7" t="n">
        <f>IF(A122="","",G122)</f>
        <v>0</v>
      </c>
      <c r="E460" s="7" t="n">
        <f>IF(A122="","",H122)</f>
        <v>42800</v>
      </c>
    </row>
    <row r="461" ht="14" customHeight="true">
      <c r="A461" s="6" t="str">
        <f>IF(A123="","",A123)</f>
        <v/>
      </c>
      <c r="B461" s="7" t="str">
        <f>IF(A123="","",E123)</f>
        <v/>
      </c>
      <c r="C461" s="7" t="str">
        <f>IF(A123="","",F123)</f>
        <v/>
      </c>
      <c r="D461" s="7" t="str">
        <f>IF(A123="","",G123)</f>
        <v/>
      </c>
      <c r="E461" s="7" t="str">
        <f>IF(A123="","",H123)</f>
        <v/>
      </c>
    </row>
    <row r="462" ht="14" customHeight="true">
      <c r="A462" s="6" t="str">
        <f>IF(A124="","",A124)</f>
        <v/>
      </c>
      <c r="B462" s="7" t="str">
        <f>IF(A124="","",E124)</f>
        <v/>
      </c>
      <c r="C462" s="7" t="str">
        <f>IF(A124="","",F124)</f>
        <v/>
      </c>
      <c r="D462" s="7" t="str">
        <f>IF(A124="","",G124)</f>
        <v/>
      </c>
      <c r="E462" s="7" t="str">
        <f>IF(A124="","",H124)</f>
        <v/>
      </c>
    </row>
    <row r="463" ht="14" customHeight="true">
      <c r="A463" s="6" t="str">
        <f>IF(A125="","",A125)</f>
        <v/>
      </c>
      <c r="B463" s="7" t="str">
        <f>IF(A125="","",E125)</f>
        <v/>
      </c>
      <c r="C463" s="7" t="str">
        <f>IF(A125="","",F125)</f>
        <v/>
      </c>
      <c r="D463" s="7" t="str">
        <f>IF(A125="","",G125)</f>
        <v/>
      </c>
      <c r="E463" s="7" t="str">
        <f>IF(A125="","",H125)</f>
        <v/>
      </c>
    </row>
    <row r="464" ht="14" customHeight="true">
      <c r="A464" s="6" t="str">
        <f>IF(A126="","",A126)</f>
        <v/>
      </c>
      <c r="B464" s="7" t="str">
        <f>IF(A126="","",E126)</f>
        <v/>
      </c>
      <c r="C464" s="7" t="str">
        <f>IF(A126="","",F126)</f>
        <v/>
      </c>
      <c r="D464" s="7" t="str">
        <f>IF(A126="","",G126)</f>
        <v/>
      </c>
      <c r="E464" s="7" t="str">
        <f>IF(A126="","",H126)</f>
        <v/>
      </c>
    </row>
    <row r="465" ht="14" customHeight="true">
      <c r="A465" s="6" t="str">
        <f>IF(A127="","",A127)</f>
        <v/>
      </c>
      <c r="B465" s="7" t="str">
        <f>IF(A127="","",E127)</f>
        <v/>
      </c>
      <c r="C465" s="7" t="str">
        <f>IF(A127="","",F127)</f>
        <v/>
      </c>
      <c r="D465" s="7" t="str">
        <f>IF(A127="","",G127)</f>
        <v/>
      </c>
      <c r="E465" s="7" t="str">
        <f>IF(A127="","",H127)</f>
        <v/>
      </c>
    </row>
    <row r="466" ht="14" customHeight="true">
      <c r="A466" s="6" t="str">
        <f>IF(A128="","",A128)</f>
        <v/>
      </c>
      <c r="B466" s="7" t="str">
        <f>IF(A128="","",E128)</f>
        <v/>
      </c>
      <c r="C466" s="7" t="str">
        <f>IF(A128="","",F128)</f>
        <v/>
      </c>
      <c r="D466" s="7" t="str">
        <f>IF(A128="","",G128)</f>
        <v/>
      </c>
      <c r="E466" s="7" t="str">
        <f>IF(A128="","",H128)</f>
        <v/>
      </c>
    </row>
    <row r="467" ht="14" customHeight="true">
      <c r="A467" s="6" t="str">
        <f>IF(A129="","",A129)</f>
        <v/>
      </c>
      <c r="B467" s="7" t="str">
        <f>IF(A129="","",E129)</f>
        <v/>
      </c>
      <c r="C467" s="7" t="str">
        <f>IF(A129="","",F129)</f>
        <v/>
      </c>
      <c r="D467" s="7" t="str">
        <f>IF(A129="","",G129)</f>
        <v/>
      </c>
      <c r="E467" s="7" t="str">
        <f>IF(A129="","",H129)</f>
        <v/>
      </c>
    </row>
    <row r="468" ht="14" customHeight="true">
      <c r="A468" s="6" t="str">
        <f>IF(A130="","",A130)</f>
        <v/>
      </c>
      <c r="B468" s="7" t="str">
        <f>IF(A130="","",E130)</f>
        <v/>
      </c>
      <c r="C468" s="7" t="str">
        <f>IF(A130="","",F130)</f>
        <v/>
      </c>
      <c r="D468" s="7" t="str">
        <f>IF(A130="","",G130)</f>
        <v/>
      </c>
      <c r="E468" s="7" t="str">
        <f>IF(A130="","",H130)</f>
        <v/>
      </c>
    </row>
    <row r="469" ht="14" customHeight="true">
      <c r="A469" s="6" t="str">
        <f>IF(A131="","",A131)</f>
        <v/>
      </c>
      <c r="B469" s="7" t="str">
        <f>IF(A131="","",E131)</f>
        <v/>
      </c>
      <c r="C469" s="7" t="str">
        <f>IF(A131="","",F131)</f>
        <v/>
      </c>
      <c r="D469" s="7" t="str">
        <f>IF(A131="","",G131)</f>
        <v/>
      </c>
      <c r="E469" s="7" t="str">
        <f>IF(A131="","",H131)</f>
        <v/>
      </c>
    </row>
    <row r="470" ht="14" customHeight="true">
      <c r="A470" s="6" t="str">
        <f>IF(A132="","",A132)</f>
        <v/>
      </c>
      <c r="B470" s="7" t="str">
        <f>IF(A132="","",E132)</f>
        <v/>
      </c>
      <c r="C470" s="7" t="str">
        <f>IF(A132="","",F132)</f>
        <v/>
      </c>
      <c r="D470" s="7" t="str">
        <f>IF(A132="","",G132)</f>
        <v/>
      </c>
      <c r="E470" s="7" t="str">
        <f>IF(A132="","",H132)</f>
        <v/>
      </c>
    </row>
    <row r="471" ht="14" customHeight="true">
      <c r="A471" s="6" t="str">
        <f>IF(A133="","",A133)</f>
        <v/>
      </c>
      <c r="B471" s="7" t="str">
        <f>IF(A133="","",E133)</f>
        <v/>
      </c>
      <c r="C471" s="7" t="str">
        <f>IF(A133="","",F133)</f>
        <v/>
      </c>
      <c r="D471" s="7" t="str">
        <f>IF(A133="","",G133)</f>
        <v/>
      </c>
      <c r="E471" s="7" t="str">
        <f>IF(A133="","",H133)</f>
        <v/>
      </c>
    </row>
    <row r="472" ht="14" customHeight="true">
      <c r="A472" s="6" t="str">
        <f>IF(A134="","",A134)</f>
        <v/>
      </c>
      <c r="B472" s="7" t="str">
        <f>IF(A134="","",E134)</f>
        <v/>
      </c>
      <c r="C472" s="7" t="str">
        <f>IF(A134="","",F134)</f>
        <v/>
      </c>
      <c r="D472" s="7" t="str">
        <f>IF(A134="","",G134)</f>
        <v/>
      </c>
      <c r="E472" s="7" t="str">
        <f>IF(A134="","",H134)</f>
        <v/>
      </c>
    </row>
  </sheetData>
  <mergeCells count="10">
    <mergeCell ref="A1:L2"/>
    <mergeCell ref="A4:L4"/>
    <mergeCell ref="A200:G200"/>
    <mergeCell ref="A201:G201"/>
    <mergeCell ref="A270:F270"/>
    <mergeCell ref="A271:F271"/>
    <mergeCell ref="A340:D340"/>
    <mergeCell ref="A341:D341"/>
    <mergeCell ref="A410:E410"/>
    <mergeCell ref="A411:E411"/>
  </mergeCells>
  <conditionalFormatting sqref="D7:D66">
    <cfRule type="expression" priority="2" aboveAverage="0" equalAverage="0" bottom="0" percent="0" rank="0" text="" dxfId="0">
      <formula>AND(ISNUMBER(D7),D7&gt;0)</formula>
    </cfRule>
  </conditionalFormatting>
  <printOptions headings="false" gridLines="false" gridLinesSet="true" horizontalCentered="false" verticalCentered="false"/>
  <pageMargins left="0.3" right="0.3" top="0.35" bottom="0.3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&amp;Linvesthoch3.de · Sparziel-Fahrplan 0.2&amp;R&amp;P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7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4" ySplit="6" topLeftCell="E7" activePane="bottomRight" state="frozen"/>
      <selection pane="topLeft" activeCell="A1" activeCellId="0" sqref="A1"/>
      <selection pane="topRight" activeCell="E1" activeCellId="0" sqref="E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7"/>
    <col collapsed="false" customWidth="true" hidden="false" outlineLevel="0" max="4" min="4" style="0" width="18"/>
    <col collapsed="false" customWidth="true" hidden="false" outlineLevel="0" max="10" min="5" style="0" width="16"/>
    <col collapsed="false" customWidth="true" hidden="false" outlineLevel="0" max="11" min="11" style="0" width="17"/>
    <col collapsed="false" customWidth="true" hidden="false" outlineLevel="0" max="12" min="12" style="0" width="15"/>
  </cols>
  <sheetData>
    <row r="1" customFormat="false" ht="24" hidden="false" customHeight="true" outlineLevel="0" collapsed="false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customFormat="false" ht="30" hidden="false" customHeight="true" outlineLevel="0" collapsed="false">
      <c r="A4" s="2" t="s">
        <v>57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33.75" hidden="false" customHeight="true" outlineLevel="0" collapsed="false">
      <c r="A6" s="5" t="s">
        <v>30</v>
      </c>
      <c r="B6" s="5" t="s">
        <v>58</v>
      </c>
      <c r="C6" s="5" t="s">
        <v>59</v>
      </c>
      <c r="D6" s="5" t="s">
        <v>60</v>
      </c>
      <c r="E6" s="5" t="str">
        <f aca="false">IF(Ziele!A10="","Ziel 1",Ziele!A10)</f>
        <v>Reserve</v>
      </c>
      <c r="F6" s="5" t="str">
        <f aca="false">IF(Ziele!A11="","Ziel 2",Ziele!A11)</f>
        <v>Eigenkapital</v>
      </c>
      <c r="G6" s="5" t="str">
        <f aca="false">IF(Ziele!A12="","Ziel 3",Ziele!A12)</f>
        <v>Ziel 3</v>
      </c>
      <c r="H6" s="5" t="str">
        <f aca="false">IF(Ziele!A13="","Ziel 4",Ziele!A13)</f>
        <v>Ziel 4</v>
      </c>
      <c r="I6" s="5" t="str">
        <f aca="false">IF(Ziele!A14="","Ziel 5",Ziele!A14)</f>
        <v>Ziel 5</v>
      </c>
      <c r="J6" s="5" t="str">
        <f aca="false">IF(Ziele!A15="","Ziel 6",Ziele!A15)</f>
        <v>Ziel 6</v>
      </c>
      <c r="K6" s="5" t="s">
        <v>61</v>
      </c>
      <c r="L6" s="5" t="s">
        <v>62</v>
      </c>
    </row>
    <row r="7" customFormat="false" ht="22.5" hidden="false" customHeight="true" outlineLevel="0" collapsed="false">
      <c r="A7" s="6" t="n">
        <f aca="false">IF(AND(Ziele!$B$18="Plan bereit",1&lt;=Ziele!$B$5),1,"")</f>
        <v>1</v>
      </c>
      <c r="B7" s="7" t="n">
        <f aca="false">IF(AND(Ziele!$B$18="Plan bereit",1&lt;=Ziele!$B$5),Budgets!E10,"")</f>
        <v>500</v>
      </c>
      <c r="C7" s="7" t="n">
        <f aca="false">IF(AND(Ziele!$B$18="Plan bereit",1&lt;=Ziele!$B$5),ROUND(MIN(Budgets!F10,0+B7),2),"")</f>
        <v>150</v>
      </c>
      <c r="D7" s="7" t="n">
        <f aca="false">IF(AND(Ziele!$B$18="Plan bereit",1&lt;=Ziele!$B$5),ROUND(Budgets!F10-C7,2),"")</f>
        <v>0</v>
      </c>
      <c r="E7" s="7" t="n">
        <f aca="false">IF(AND(Ziele!$B$18="Plan bereit",1&lt;=Ziele!$B$5),ROUND(MAX(0,MIN(MAX(0,ROUND(Ziele!C10-Ziele!B10,2)),IF(Ziele!E10="",MAX(0,ROUND(Ziele!C10-Ziele!B10,2)),Ziele!E10),0+B7-C7-0)),2),"")</f>
        <v>200</v>
      </c>
      <c r="F7" s="7" t="n">
        <f aca="false">IF(AND(Ziele!$B$18="Plan bereit",1&lt;=Ziele!$B$5),ROUND(MAX(0,MIN(MAX(0,ROUND(Ziele!C11-Ziele!B11,2)),IF(Ziele!E11="",MAX(0,ROUND(Ziele!C11-Ziele!B11,2)),Ziele!E11),0+B7-C7-SUM(E7:E7))),2),"")</f>
        <v>150</v>
      </c>
      <c r="G7" s="7" t="n">
        <f aca="false">IF(AND(Ziele!$B$18="Plan bereit",1&lt;=Ziele!$B$5),ROUND(MAX(0,MIN(MAX(0,ROUND(Ziele!C12-Ziele!B12,2)),IF(Ziele!E12="",MAX(0,ROUND(Ziele!C12-Ziele!B12,2)),Ziele!E12),0+B7-C7-SUM(E7:F7))),2),"")</f>
        <v>0</v>
      </c>
      <c r="H7" s="7" t="n">
        <f aca="false">IF(AND(Ziele!$B$18="Plan bereit",1&lt;=Ziele!$B$5),ROUND(MAX(0,MIN(MAX(0,ROUND(Ziele!C13-Ziele!B13,2)),IF(Ziele!E13="",MAX(0,ROUND(Ziele!C13-Ziele!B13,2)),Ziele!E13),0+B7-C7-SUM(E7:G7))),2),"")</f>
        <v>0</v>
      </c>
      <c r="I7" s="7" t="n">
        <f aca="false">IF(AND(Ziele!$B$18="Plan bereit",1&lt;=Ziele!$B$5),ROUND(MAX(0,MIN(MAX(0,ROUND(Ziele!C14-Ziele!B14,2)),IF(Ziele!E14="",MAX(0,ROUND(Ziele!C14-Ziele!B14,2)),Ziele!E14),0+B7-C7-SUM(E7:H7))),2),"")</f>
        <v>0</v>
      </c>
      <c r="J7" s="7" t="n">
        <f aca="false">IF(AND(Ziele!$B$18="Plan bereit",1&lt;=Ziele!$B$5),ROUND(MAX(0,MIN(MAX(0,ROUND(Ziele!C15-Ziele!B15,2)),IF(Ziele!E15="",MAX(0,ROUND(Ziele!C15-Ziele!B15,2)),Ziele!E15),0+B7-C7-SUM(E7:I7))),2),"")</f>
        <v>0</v>
      </c>
      <c r="K7" s="7" t="n">
        <f aca="false">IF(AND(Ziele!$B$18="Plan bereit",1&lt;=Ziele!$B$5),ROUND(0+B7-C7-SUM(E7:J7),2),"")</f>
        <v>0</v>
      </c>
      <c r="L7" s="7" t="n">
        <f aca="false">IF(AND(Ziele!$B$18="Plan bereit",1&lt;=Ziele!$B$5),ROUND(Ziele!$B$4+SUM(B$7:B7)-SUM(C$7:C7)-H75-K7-Ziele!$B$21,2),"")</f>
        <v>0</v>
      </c>
    </row>
    <row r="8" customFormat="false" ht="22.5" hidden="false" customHeight="true" outlineLevel="0" collapsed="false">
      <c r="A8" s="6" t="n">
        <f aca="false">IF(AND(Ziele!$B$18="Plan bereit",2&lt;=Ziele!$B$5),2,"")</f>
        <v>2</v>
      </c>
      <c r="B8" s="7" t="n">
        <f aca="false">IF(AND(Ziele!$B$18="Plan bereit",2&lt;=Ziele!$B$5),Budgets!E11,"")</f>
        <v>500</v>
      </c>
      <c r="C8" s="7" t="n">
        <f aca="false">IF(AND(Ziele!$B$18="Plan bereit",2&lt;=Ziele!$B$5),ROUND(MIN(Budgets!F11,K7+B8),2),"")</f>
        <v>150</v>
      </c>
      <c r="D8" s="7" t="n">
        <f aca="false">IF(AND(Ziele!$B$18="Plan bereit",2&lt;=Ziele!$B$5),ROUND(Budgets!F11-C8,2),"")</f>
        <v>0</v>
      </c>
      <c r="E8" s="7" t="n">
        <f aca="false">IF(AND(Ziele!$B$18="Plan bereit",2&lt;=Ziele!$B$5),ROUND(MAX(0,MIN(MAX(0,ROUND(Ziele!C10-B75,2)),IF(Ziele!E10="",MAX(0,ROUND(Ziele!C10-B75,2)),Ziele!E10),K7+B8-C8-0)),2),"")</f>
        <v>200</v>
      </c>
      <c r="F8" s="7" t="n">
        <f aca="false">IF(AND(Ziele!$B$18="Plan bereit",2&lt;=Ziele!$B$5),ROUND(MAX(0,MIN(MAX(0,ROUND(Ziele!C11-C75,2)),IF(Ziele!E11="",MAX(0,ROUND(Ziele!C11-C75,2)),Ziele!E11),K7+B8-C8-SUM(E8:E8))),2),"")</f>
        <v>150</v>
      </c>
      <c r="G8" s="7" t="n">
        <f aca="false">IF(AND(Ziele!$B$18="Plan bereit",2&lt;=Ziele!$B$5),ROUND(MAX(0,MIN(MAX(0,ROUND(Ziele!C12-D75,2)),IF(Ziele!E12="",MAX(0,ROUND(Ziele!C12-D75,2)),Ziele!E12),K7+B8-C8-SUM(E8:F8))),2),"")</f>
        <v>0</v>
      </c>
      <c r="H8" s="7" t="n">
        <f aca="false">IF(AND(Ziele!$B$18="Plan bereit",2&lt;=Ziele!$B$5),ROUND(MAX(0,MIN(MAX(0,ROUND(Ziele!C13-E75,2)),IF(Ziele!E13="",MAX(0,ROUND(Ziele!C13-E75,2)),Ziele!E13),K7+B8-C8-SUM(E8:G8))),2),"")</f>
        <v>0</v>
      </c>
      <c r="I8" s="7" t="n">
        <f aca="false">IF(AND(Ziele!$B$18="Plan bereit",2&lt;=Ziele!$B$5),ROUND(MAX(0,MIN(MAX(0,ROUND(Ziele!C14-F75,2)),IF(Ziele!E14="",MAX(0,ROUND(Ziele!C14-F75,2)),Ziele!E14),K7+B8-C8-SUM(E8:H8))),2),"")</f>
        <v>0</v>
      </c>
      <c r="J8" s="7" t="n">
        <f aca="false">IF(AND(Ziele!$B$18="Plan bereit",2&lt;=Ziele!$B$5),ROUND(MAX(0,MIN(MAX(0,ROUND(Ziele!C15-G75,2)),IF(Ziele!E15="",MAX(0,ROUND(Ziele!C15-G75,2)),Ziele!E15),K7+B8-C8-SUM(E8:I8))),2),"")</f>
        <v>0</v>
      </c>
      <c r="K8" s="7" t="n">
        <f aca="false">IF(AND(Ziele!$B$18="Plan bereit",2&lt;=Ziele!$B$5),ROUND(K7+B8-C8-SUM(E8:J8),2),"")</f>
        <v>0</v>
      </c>
      <c r="L8" s="7" t="n">
        <f aca="false">IF(AND(Ziele!$B$18="Plan bereit",2&lt;=Ziele!$B$5),ROUND(Ziele!$B$4+SUM(B$7:B8)-SUM(C$7:C8)-H76-K8-Ziele!$B$21,2),"")</f>
        <v>0</v>
      </c>
    </row>
    <row r="9" customFormat="false" ht="22.5" hidden="false" customHeight="true" outlineLevel="0" collapsed="false">
      <c r="A9" s="6" t="n">
        <f aca="false">IF(AND(Ziele!$B$18="Plan bereit",3&lt;=Ziele!$B$5),3,"")</f>
        <v>3</v>
      </c>
      <c r="B9" s="7" t="n">
        <f aca="false">IF(AND(Ziele!$B$18="Plan bereit",3&lt;=Ziele!$B$5),Budgets!E12,"")</f>
        <v>500</v>
      </c>
      <c r="C9" s="7" t="n">
        <f aca="false">IF(AND(Ziele!$B$18="Plan bereit",3&lt;=Ziele!$B$5),ROUND(MIN(Budgets!F12,K8+B9),2),"")</f>
        <v>150</v>
      </c>
      <c r="D9" s="7" t="n">
        <f aca="false">IF(AND(Ziele!$B$18="Plan bereit",3&lt;=Ziele!$B$5),ROUND(Budgets!F12-C9,2),"")</f>
        <v>0</v>
      </c>
      <c r="E9" s="7" t="n">
        <f aca="false">IF(AND(Ziele!$B$18="Plan bereit",3&lt;=Ziele!$B$5),ROUND(MAX(0,MIN(MAX(0,ROUND(Ziele!C10-B76,2)),IF(Ziele!E10="",MAX(0,ROUND(Ziele!C10-B76,2)),Ziele!E10),K8+B9-C9-0)),2),"")</f>
        <v>200</v>
      </c>
      <c r="F9" s="7" t="n">
        <f aca="false">IF(AND(Ziele!$B$18="Plan bereit",3&lt;=Ziele!$B$5),ROUND(MAX(0,MIN(MAX(0,ROUND(Ziele!C11-C76,2)),IF(Ziele!E11="",MAX(0,ROUND(Ziele!C11-C76,2)),Ziele!E11),K8+B9-C9-SUM(E9:E9))),2),"")</f>
        <v>150</v>
      </c>
      <c r="G9" s="7" t="n">
        <f aca="false">IF(AND(Ziele!$B$18="Plan bereit",3&lt;=Ziele!$B$5),ROUND(MAX(0,MIN(MAX(0,ROUND(Ziele!C12-D76,2)),IF(Ziele!E12="",MAX(0,ROUND(Ziele!C12-D76,2)),Ziele!E12),K8+B9-C9-SUM(E9:F9))),2),"")</f>
        <v>0</v>
      </c>
      <c r="H9" s="7" t="n">
        <f aca="false">IF(AND(Ziele!$B$18="Plan bereit",3&lt;=Ziele!$B$5),ROUND(MAX(0,MIN(MAX(0,ROUND(Ziele!C13-E76,2)),IF(Ziele!E13="",MAX(0,ROUND(Ziele!C13-E76,2)),Ziele!E13),K8+B9-C9-SUM(E9:G9))),2),"")</f>
        <v>0</v>
      </c>
      <c r="I9" s="7" t="n">
        <f aca="false">IF(AND(Ziele!$B$18="Plan bereit",3&lt;=Ziele!$B$5),ROUND(MAX(0,MIN(MAX(0,ROUND(Ziele!C14-F76,2)),IF(Ziele!E14="",MAX(0,ROUND(Ziele!C14-F76,2)),Ziele!E14),K8+B9-C9-SUM(E9:H9))),2),"")</f>
        <v>0</v>
      </c>
      <c r="J9" s="7" t="n">
        <f aca="false">IF(AND(Ziele!$B$18="Plan bereit",3&lt;=Ziele!$B$5),ROUND(MAX(0,MIN(MAX(0,ROUND(Ziele!C15-G76,2)),IF(Ziele!E15="",MAX(0,ROUND(Ziele!C15-G76,2)),Ziele!E15),K8+B9-C9-SUM(E9:I9))),2),"")</f>
        <v>0</v>
      </c>
      <c r="K9" s="7" t="n">
        <f aca="false">IF(AND(Ziele!$B$18="Plan bereit",3&lt;=Ziele!$B$5),ROUND(K8+B9-C9-SUM(E9:J9),2),"")</f>
        <v>0</v>
      </c>
      <c r="L9" s="7" t="n">
        <f aca="false">IF(AND(Ziele!$B$18="Plan bereit",3&lt;=Ziele!$B$5),ROUND(Ziele!$B$4+SUM(B$7:B9)-SUM(C$7:C9)-H77-K9-Ziele!$B$21,2),"")</f>
        <v>0</v>
      </c>
    </row>
    <row r="10" customFormat="false" ht="22.5" hidden="false" customHeight="true" outlineLevel="0" collapsed="false">
      <c r="A10" s="6" t="n">
        <f aca="false">IF(AND(Ziele!$B$18="Plan bereit",4&lt;=Ziele!$B$5),4,"")</f>
        <v>4</v>
      </c>
      <c r="B10" s="7" t="n">
        <f aca="false">IF(AND(Ziele!$B$18="Plan bereit",4&lt;=Ziele!$B$5),Budgets!E13,"")</f>
        <v>500</v>
      </c>
      <c r="C10" s="7" t="n">
        <f aca="false">IF(AND(Ziele!$B$18="Plan bereit",4&lt;=Ziele!$B$5),ROUND(MIN(Budgets!F13,K9+B10),2),"")</f>
        <v>150</v>
      </c>
      <c r="D10" s="7" t="n">
        <f aca="false">IF(AND(Ziele!$B$18="Plan bereit",4&lt;=Ziele!$B$5),ROUND(Budgets!F13-C10,2),"")</f>
        <v>0</v>
      </c>
      <c r="E10" s="7" t="n">
        <f aca="false">IF(AND(Ziele!$B$18="Plan bereit",4&lt;=Ziele!$B$5),ROUND(MAX(0,MIN(MAX(0,ROUND(Ziele!C10-B77,2)),IF(Ziele!E10="",MAX(0,ROUND(Ziele!C10-B77,2)),Ziele!E10),K9+B10-C10-0)),2),"")</f>
        <v>200</v>
      </c>
      <c r="F10" s="7" t="n">
        <f aca="false">IF(AND(Ziele!$B$18="Plan bereit",4&lt;=Ziele!$B$5),ROUND(MAX(0,MIN(MAX(0,ROUND(Ziele!C11-C77,2)),IF(Ziele!E11="",MAX(0,ROUND(Ziele!C11-C77,2)),Ziele!E11),K9+B10-C10-SUM(E10:E10))),2),"")</f>
        <v>150</v>
      </c>
      <c r="G10" s="7" t="n">
        <f aca="false">IF(AND(Ziele!$B$18="Plan bereit",4&lt;=Ziele!$B$5),ROUND(MAX(0,MIN(MAX(0,ROUND(Ziele!C12-D77,2)),IF(Ziele!E12="",MAX(0,ROUND(Ziele!C12-D77,2)),Ziele!E12),K9+B10-C10-SUM(E10:F10))),2),"")</f>
        <v>0</v>
      </c>
      <c r="H10" s="7" t="n">
        <f aca="false">IF(AND(Ziele!$B$18="Plan bereit",4&lt;=Ziele!$B$5),ROUND(MAX(0,MIN(MAX(0,ROUND(Ziele!C13-E77,2)),IF(Ziele!E13="",MAX(0,ROUND(Ziele!C13-E77,2)),Ziele!E13),K9+B10-C10-SUM(E10:G10))),2),"")</f>
        <v>0</v>
      </c>
      <c r="I10" s="7" t="n">
        <f aca="false">IF(AND(Ziele!$B$18="Plan bereit",4&lt;=Ziele!$B$5),ROUND(MAX(0,MIN(MAX(0,ROUND(Ziele!C14-F77,2)),IF(Ziele!E14="",MAX(0,ROUND(Ziele!C14-F77,2)),Ziele!E14),K9+B10-C10-SUM(E10:H10))),2),"")</f>
        <v>0</v>
      </c>
      <c r="J10" s="7" t="n">
        <f aca="false">IF(AND(Ziele!$B$18="Plan bereit",4&lt;=Ziele!$B$5),ROUND(MAX(0,MIN(MAX(0,ROUND(Ziele!C15-G77,2)),IF(Ziele!E15="",MAX(0,ROUND(Ziele!C15-G77,2)),Ziele!E15),K9+B10-C10-SUM(E10:I10))),2),"")</f>
        <v>0</v>
      </c>
      <c r="K10" s="7" t="n">
        <f aca="false">IF(AND(Ziele!$B$18="Plan bereit",4&lt;=Ziele!$B$5),ROUND(K9+B10-C10-SUM(E10:J10),2),"")</f>
        <v>0</v>
      </c>
      <c r="L10" s="7" t="n">
        <f aca="false">IF(AND(Ziele!$B$18="Plan bereit",4&lt;=Ziele!$B$5),ROUND(Ziele!$B$4+SUM(B$7:B10)-SUM(C$7:C10)-H78-K10-Ziele!$B$21,2),"")</f>
        <v>0</v>
      </c>
    </row>
    <row r="11" customFormat="false" ht="22.5" hidden="false" customHeight="true" outlineLevel="0" collapsed="false">
      <c r="A11" s="6" t="n">
        <f aca="false">IF(AND(Ziele!$B$18="Plan bereit",5&lt;=Ziele!$B$5),5,"")</f>
        <v>5</v>
      </c>
      <c r="B11" s="7" t="n">
        <f aca="false">IF(AND(Ziele!$B$18="Plan bereit",5&lt;=Ziele!$B$5),Budgets!E14,"")</f>
        <v>500</v>
      </c>
      <c r="C11" s="7" t="n">
        <f aca="false">IF(AND(Ziele!$B$18="Plan bereit",5&lt;=Ziele!$B$5),ROUND(MIN(Budgets!F14,K10+B11),2),"")</f>
        <v>150</v>
      </c>
      <c r="D11" s="7" t="n">
        <f aca="false">IF(AND(Ziele!$B$18="Plan bereit",5&lt;=Ziele!$B$5),ROUND(Budgets!F14-C11,2),"")</f>
        <v>0</v>
      </c>
      <c r="E11" s="7" t="n">
        <f aca="false">IF(AND(Ziele!$B$18="Plan bereit",5&lt;=Ziele!$B$5),ROUND(MAX(0,MIN(MAX(0,ROUND(Ziele!C10-B78,2)),IF(Ziele!E10="",MAX(0,ROUND(Ziele!C10-B78,2)),Ziele!E10),K10+B11-C11-0)),2),"")</f>
        <v>200</v>
      </c>
      <c r="F11" s="7" t="n">
        <f aca="false">IF(AND(Ziele!$B$18="Plan bereit",5&lt;=Ziele!$B$5),ROUND(MAX(0,MIN(MAX(0,ROUND(Ziele!C11-C78,2)),IF(Ziele!E11="",MAX(0,ROUND(Ziele!C11-C78,2)),Ziele!E11),K10+B11-C11-SUM(E11:E11))),2),"")</f>
        <v>150</v>
      </c>
      <c r="G11" s="7" t="n">
        <f aca="false">IF(AND(Ziele!$B$18="Plan bereit",5&lt;=Ziele!$B$5),ROUND(MAX(0,MIN(MAX(0,ROUND(Ziele!C12-D78,2)),IF(Ziele!E12="",MAX(0,ROUND(Ziele!C12-D78,2)),Ziele!E12),K10+B11-C11-SUM(E11:F11))),2),"")</f>
        <v>0</v>
      </c>
      <c r="H11" s="7" t="n">
        <f aca="false">IF(AND(Ziele!$B$18="Plan bereit",5&lt;=Ziele!$B$5),ROUND(MAX(0,MIN(MAX(0,ROUND(Ziele!C13-E78,2)),IF(Ziele!E13="",MAX(0,ROUND(Ziele!C13-E78,2)),Ziele!E13),K10+B11-C11-SUM(E11:G11))),2),"")</f>
        <v>0</v>
      </c>
      <c r="I11" s="7" t="n">
        <f aca="false">IF(AND(Ziele!$B$18="Plan bereit",5&lt;=Ziele!$B$5),ROUND(MAX(0,MIN(MAX(0,ROUND(Ziele!C14-F78,2)),IF(Ziele!E14="",MAX(0,ROUND(Ziele!C14-F78,2)),Ziele!E14),K10+B11-C11-SUM(E11:H11))),2),"")</f>
        <v>0</v>
      </c>
      <c r="J11" s="7" t="n">
        <f aca="false">IF(AND(Ziele!$B$18="Plan bereit",5&lt;=Ziele!$B$5),ROUND(MAX(0,MIN(MAX(0,ROUND(Ziele!C15-G78,2)),IF(Ziele!E15="",MAX(0,ROUND(Ziele!C15-G78,2)),Ziele!E15),K10+B11-C11-SUM(E11:I11))),2),"")</f>
        <v>0</v>
      </c>
      <c r="K11" s="7" t="n">
        <f aca="false">IF(AND(Ziele!$B$18="Plan bereit",5&lt;=Ziele!$B$5),ROUND(K10+B11-C11-SUM(E11:J11),2),"")</f>
        <v>0</v>
      </c>
      <c r="L11" s="7" t="n">
        <f aca="false">IF(AND(Ziele!$B$18="Plan bereit",5&lt;=Ziele!$B$5),ROUND(Ziele!$B$4+SUM(B$7:B11)-SUM(C$7:C11)-H79-K11-Ziele!$B$21,2),"")</f>
        <v>0</v>
      </c>
    </row>
    <row r="12" customFormat="false" ht="22.5" hidden="false" customHeight="true" outlineLevel="0" collapsed="false">
      <c r="A12" s="6" t="n">
        <f aca="false">IF(AND(Ziele!$B$18="Plan bereit",6&lt;=Ziele!$B$5),6,"")</f>
        <v>6</v>
      </c>
      <c r="B12" s="7" t="n">
        <f aca="false">IF(AND(Ziele!$B$18="Plan bereit",6&lt;=Ziele!$B$5),Budgets!E15,"")</f>
        <v>500</v>
      </c>
      <c r="C12" s="7" t="n">
        <f aca="false">IF(AND(Ziele!$B$18="Plan bereit",6&lt;=Ziele!$B$5),ROUND(MIN(Budgets!F15,K11+B12),2),"")</f>
        <v>150</v>
      </c>
      <c r="D12" s="7" t="n">
        <f aca="false">IF(AND(Ziele!$B$18="Plan bereit",6&lt;=Ziele!$B$5),ROUND(Budgets!F15-C12,2),"")</f>
        <v>0</v>
      </c>
      <c r="E12" s="7" t="n">
        <f aca="false">IF(AND(Ziele!$B$18="Plan bereit",6&lt;=Ziele!$B$5),ROUND(MAX(0,MIN(MAX(0,ROUND(Ziele!C10-B79,2)),IF(Ziele!E10="",MAX(0,ROUND(Ziele!C10-B79,2)),Ziele!E10),K11+B12-C12-0)),2),"")</f>
        <v>200</v>
      </c>
      <c r="F12" s="7" t="n">
        <f aca="false">IF(AND(Ziele!$B$18="Plan bereit",6&lt;=Ziele!$B$5),ROUND(MAX(0,MIN(MAX(0,ROUND(Ziele!C11-C79,2)),IF(Ziele!E11="",MAX(0,ROUND(Ziele!C11-C79,2)),Ziele!E11),K11+B12-C12-SUM(E12:E12))),2),"")</f>
        <v>150</v>
      </c>
      <c r="G12" s="7" t="n">
        <f aca="false">IF(AND(Ziele!$B$18="Plan bereit",6&lt;=Ziele!$B$5),ROUND(MAX(0,MIN(MAX(0,ROUND(Ziele!C12-D79,2)),IF(Ziele!E12="",MAX(0,ROUND(Ziele!C12-D79,2)),Ziele!E12),K11+B12-C12-SUM(E12:F12))),2),"")</f>
        <v>0</v>
      </c>
      <c r="H12" s="7" t="n">
        <f aca="false">IF(AND(Ziele!$B$18="Plan bereit",6&lt;=Ziele!$B$5),ROUND(MAX(0,MIN(MAX(0,ROUND(Ziele!C13-E79,2)),IF(Ziele!E13="",MAX(0,ROUND(Ziele!C13-E79,2)),Ziele!E13),K11+B12-C12-SUM(E12:G12))),2),"")</f>
        <v>0</v>
      </c>
      <c r="I12" s="7" t="n">
        <f aca="false">IF(AND(Ziele!$B$18="Plan bereit",6&lt;=Ziele!$B$5),ROUND(MAX(0,MIN(MAX(0,ROUND(Ziele!C14-F79,2)),IF(Ziele!E14="",MAX(0,ROUND(Ziele!C14-F79,2)),Ziele!E14),K11+B12-C12-SUM(E12:H12))),2),"")</f>
        <v>0</v>
      </c>
      <c r="J12" s="7" t="n">
        <f aca="false">IF(AND(Ziele!$B$18="Plan bereit",6&lt;=Ziele!$B$5),ROUND(MAX(0,MIN(MAX(0,ROUND(Ziele!C15-G79,2)),IF(Ziele!E15="",MAX(0,ROUND(Ziele!C15-G79,2)),Ziele!E15),K11+B12-C12-SUM(E12:I12))),2),"")</f>
        <v>0</v>
      </c>
      <c r="K12" s="7" t="n">
        <f aca="false">IF(AND(Ziele!$B$18="Plan bereit",6&lt;=Ziele!$B$5),ROUND(K11+B12-C12-SUM(E12:J12),2),"")</f>
        <v>0</v>
      </c>
      <c r="L12" s="7" t="n">
        <f aca="false">IF(AND(Ziele!$B$18="Plan bereit",6&lt;=Ziele!$B$5),ROUND(Ziele!$B$4+SUM(B$7:B12)-SUM(C$7:C12)-H80-K12-Ziele!$B$21,2),"")</f>
        <v>0</v>
      </c>
    </row>
    <row r="13" customFormat="false" ht="22.5" hidden="false" customHeight="true" outlineLevel="0" collapsed="false">
      <c r="A13" s="6" t="n">
        <f aca="false">IF(AND(Ziele!$B$18="Plan bereit",7&lt;=Ziele!$B$5),7,"")</f>
        <v>7</v>
      </c>
      <c r="B13" s="7" t="n">
        <f aca="false">IF(AND(Ziele!$B$18="Plan bereit",7&lt;=Ziele!$B$5),Budgets!E16,"")</f>
        <v>500</v>
      </c>
      <c r="C13" s="7" t="n">
        <f aca="false">IF(AND(Ziele!$B$18="Plan bereit",7&lt;=Ziele!$B$5),ROUND(MIN(Budgets!F16,K12+B13),2),"")</f>
        <v>150</v>
      </c>
      <c r="D13" s="7" t="n">
        <f aca="false">IF(AND(Ziele!$B$18="Plan bereit",7&lt;=Ziele!$B$5),ROUND(Budgets!F16-C13,2),"")</f>
        <v>0</v>
      </c>
      <c r="E13" s="7" t="n">
        <f aca="false">IF(AND(Ziele!$B$18="Plan bereit",7&lt;=Ziele!$B$5),ROUND(MAX(0,MIN(MAX(0,ROUND(Ziele!C10-B80,2)),IF(Ziele!E10="",MAX(0,ROUND(Ziele!C10-B80,2)),Ziele!E10),K12+B13-C13-0)),2),"")</f>
        <v>200</v>
      </c>
      <c r="F13" s="7" t="n">
        <f aca="false">IF(AND(Ziele!$B$18="Plan bereit",7&lt;=Ziele!$B$5),ROUND(MAX(0,MIN(MAX(0,ROUND(Ziele!C11-C80,2)),IF(Ziele!E11="",MAX(0,ROUND(Ziele!C11-C80,2)),Ziele!E11),K12+B13-C13-SUM(E13:E13))),2),"")</f>
        <v>150</v>
      </c>
      <c r="G13" s="7" t="n">
        <f aca="false">IF(AND(Ziele!$B$18="Plan bereit",7&lt;=Ziele!$B$5),ROUND(MAX(0,MIN(MAX(0,ROUND(Ziele!C12-D80,2)),IF(Ziele!E12="",MAX(0,ROUND(Ziele!C12-D80,2)),Ziele!E12),K12+B13-C13-SUM(E13:F13))),2),"")</f>
        <v>0</v>
      </c>
      <c r="H13" s="7" t="n">
        <f aca="false">IF(AND(Ziele!$B$18="Plan bereit",7&lt;=Ziele!$B$5),ROUND(MAX(0,MIN(MAX(0,ROUND(Ziele!C13-E80,2)),IF(Ziele!E13="",MAX(0,ROUND(Ziele!C13-E80,2)),Ziele!E13),K12+B13-C13-SUM(E13:G13))),2),"")</f>
        <v>0</v>
      </c>
      <c r="I13" s="7" t="n">
        <f aca="false">IF(AND(Ziele!$B$18="Plan bereit",7&lt;=Ziele!$B$5),ROUND(MAX(0,MIN(MAX(0,ROUND(Ziele!C14-F80,2)),IF(Ziele!E14="",MAX(0,ROUND(Ziele!C14-F80,2)),Ziele!E14),K12+B13-C13-SUM(E13:H13))),2),"")</f>
        <v>0</v>
      </c>
      <c r="J13" s="7" t="n">
        <f aca="false">IF(AND(Ziele!$B$18="Plan bereit",7&lt;=Ziele!$B$5),ROUND(MAX(0,MIN(MAX(0,ROUND(Ziele!C15-G80,2)),IF(Ziele!E15="",MAX(0,ROUND(Ziele!C15-G80,2)),Ziele!E15),K12+B13-C13-SUM(E13:I13))),2),"")</f>
        <v>0</v>
      </c>
      <c r="K13" s="7" t="n">
        <f aca="false">IF(AND(Ziele!$B$18="Plan bereit",7&lt;=Ziele!$B$5),ROUND(K12+B13-C13-SUM(E13:J13),2),"")</f>
        <v>0</v>
      </c>
      <c r="L13" s="7" t="n">
        <f aca="false">IF(AND(Ziele!$B$18="Plan bereit",7&lt;=Ziele!$B$5),ROUND(Ziele!$B$4+SUM(B$7:B13)-SUM(C$7:C13)-H81-K13-Ziele!$B$21,2),"")</f>
        <v>0</v>
      </c>
    </row>
    <row r="14" customFormat="false" ht="22.5" hidden="false" customHeight="true" outlineLevel="0" collapsed="false">
      <c r="A14" s="6" t="n">
        <f aca="false">IF(AND(Ziele!$B$18="Plan bereit",8&lt;=Ziele!$B$5),8,"")</f>
        <v>8</v>
      </c>
      <c r="B14" s="7" t="n">
        <f aca="false">IF(AND(Ziele!$B$18="Plan bereit",8&lt;=Ziele!$B$5),Budgets!E17,"")</f>
        <v>500</v>
      </c>
      <c r="C14" s="7" t="n">
        <f aca="false">IF(AND(Ziele!$B$18="Plan bereit",8&lt;=Ziele!$B$5),ROUND(MIN(Budgets!F17,K13+B14),2),"")</f>
        <v>150</v>
      </c>
      <c r="D14" s="7" t="n">
        <f aca="false">IF(AND(Ziele!$B$18="Plan bereit",8&lt;=Ziele!$B$5),ROUND(Budgets!F17-C14,2),"")</f>
        <v>0</v>
      </c>
      <c r="E14" s="7" t="n">
        <f aca="false">IF(AND(Ziele!$B$18="Plan bereit",8&lt;=Ziele!$B$5),ROUND(MAX(0,MIN(MAX(0,ROUND(Ziele!C10-B81,2)),IF(Ziele!E10="",MAX(0,ROUND(Ziele!C10-B81,2)),Ziele!E10),K13+B14-C14-0)),2),"")</f>
        <v>200</v>
      </c>
      <c r="F14" s="7" t="n">
        <f aca="false">IF(AND(Ziele!$B$18="Plan bereit",8&lt;=Ziele!$B$5),ROUND(MAX(0,MIN(MAX(0,ROUND(Ziele!C11-C81,2)),IF(Ziele!E11="",MAX(0,ROUND(Ziele!C11-C81,2)),Ziele!E11),K13+B14-C14-SUM(E14:E14))),2),"")</f>
        <v>150</v>
      </c>
      <c r="G14" s="7" t="n">
        <f aca="false">IF(AND(Ziele!$B$18="Plan bereit",8&lt;=Ziele!$B$5),ROUND(MAX(0,MIN(MAX(0,ROUND(Ziele!C12-D81,2)),IF(Ziele!E12="",MAX(0,ROUND(Ziele!C12-D81,2)),Ziele!E12),K13+B14-C14-SUM(E14:F14))),2),"")</f>
        <v>0</v>
      </c>
      <c r="H14" s="7" t="n">
        <f aca="false">IF(AND(Ziele!$B$18="Plan bereit",8&lt;=Ziele!$B$5),ROUND(MAX(0,MIN(MAX(0,ROUND(Ziele!C13-E81,2)),IF(Ziele!E13="",MAX(0,ROUND(Ziele!C13-E81,2)),Ziele!E13),K13+B14-C14-SUM(E14:G14))),2),"")</f>
        <v>0</v>
      </c>
      <c r="I14" s="7" t="n">
        <f aca="false">IF(AND(Ziele!$B$18="Plan bereit",8&lt;=Ziele!$B$5),ROUND(MAX(0,MIN(MAX(0,ROUND(Ziele!C14-F81,2)),IF(Ziele!E14="",MAX(0,ROUND(Ziele!C14-F81,2)),Ziele!E14),K13+B14-C14-SUM(E14:H14))),2),"")</f>
        <v>0</v>
      </c>
      <c r="J14" s="7" t="n">
        <f aca="false">IF(AND(Ziele!$B$18="Plan bereit",8&lt;=Ziele!$B$5),ROUND(MAX(0,MIN(MAX(0,ROUND(Ziele!C15-G81,2)),IF(Ziele!E15="",MAX(0,ROUND(Ziele!C15-G81,2)),Ziele!E15),K13+B14-C14-SUM(E14:I14))),2),"")</f>
        <v>0</v>
      </c>
      <c r="K14" s="7" t="n">
        <f aca="false">IF(AND(Ziele!$B$18="Plan bereit",8&lt;=Ziele!$B$5),ROUND(K13+B14-C14-SUM(E14:J14),2),"")</f>
        <v>0</v>
      </c>
      <c r="L14" s="7" t="n">
        <f aca="false">IF(AND(Ziele!$B$18="Plan bereit",8&lt;=Ziele!$B$5),ROUND(Ziele!$B$4+SUM(B$7:B14)-SUM(C$7:C14)-H82-K14-Ziele!$B$21,2),"")</f>
        <v>0</v>
      </c>
    </row>
    <row r="15" customFormat="false" ht="22.5" hidden="false" customHeight="true" outlineLevel="0" collapsed="false">
      <c r="A15" s="6" t="n">
        <f aca="false">IF(AND(Ziele!$B$18="Plan bereit",9&lt;=Ziele!$B$5),9,"")</f>
        <v>9</v>
      </c>
      <c r="B15" s="7" t="n">
        <f aca="false">IF(AND(Ziele!$B$18="Plan bereit",9&lt;=Ziele!$B$5),Budgets!E18,"")</f>
        <v>500</v>
      </c>
      <c r="C15" s="7" t="n">
        <f aca="false">IF(AND(Ziele!$B$18="Plan bereit",9&lt;=Ziele!$B$5),ROUND(MIN(Budgets!F18,K14+B15),2),"")</f>
        <v>150</v>
      </c>
      <c r="D15" s="7" t="n">
        <f aca="false">IF(AND(Ziele!$B$18="Plan bereit",9&lt;=Ziele!$B$5),ROUND(Budgets!F18-C15,2),"")</f>
        <v>0</v>
      </c>
      <c r="E15" s="7" t="n">
        <f aca="false">IF(AND(Ziele!$B$18="Plan bereit",9&lt;=Ziele!$B$5),ROUND(MAX(0,MIN(MAX(0,ROUND(Ziele!C10-B82,2)),IF(Ziele!E10="",MAX(0,ROUND(Ziele!C10-B82,2)),Ziele!E10),K14+B15-C15-0)),2),"")</f>
        <v>200</v>
      </c>
      <c r="F15" s="7" t="n">
        <f aca="false">IF(AND(Ziele!$B$18="Plan bereit",9&lt;=Ziele!$B$5),ROUND(MAX(0,MIN(MAX(0,ROUND(Ziele!C11-C82,2)),IF(Ziele!E11="",MAX(0,ROUND(Ziele!C11-C82,2)),Ziele!E11),K14+B15-C15-SUM(E15:E15))),2),"")</f>
        <v>150</v>
      </c>
      <c r="G15" s="7" t="n">
        <f aca="false">IF(AND(Ziele!$B$18="Plan bereit",9&lt;=Ziele!$B$5),ROUND(MAX(0,MIN(MAX(0,ROUND(Ziele!C12-D82,2)),IF(Ziele!E12="",MAX(0,ROUND(Ziele!C12-D82,2)),Ziele!E12),K14+B15-C15-SUM(E15:F15))),2),"")</f>
        <v>0</v>
      </c>
      <c r="H15" s="7" t="n">
        <f aca="false">IF(AND(Ziele!$B$18="Plan bereit",9&lt;=Ziele!$B$5),ROUND(MAX(0,MIN(MAX(0,ROUND(Ziele!C13-E82,2)),IF(Ziele!E13="",MAX(0,ROUND(Ziele!C13-E82,2)),Ziele!E13),K14+B15-C15-SUM(E15:G15))),2),"")</f>
        <v>0</v>
      </c>
      <c r="I15" s="7" t="n">
        <f aca="false">IF(AND(Ziele!$B$18="Plan bereit",9&lt;=Ziele!$B$5),ROUND(MAX(0,MIN(MAX(0,ROUND(Ziele!C14-F82,2)),IF(Ziele!E14="",MAX(0,ROUND(Ziele!C14-F82,2)),Ziele!E14),K14+B15-C15-SUM(E15:H15))),2),"")</f>
        <v>0</v>
      </c>
      <c r="J15" s="7" t="n">
        <f aca="false">IF(AND(Ziele!$B$18="Plan bereit",9&lt;=Ziele!$B$5),ROUND(MAX(0,MIN(MAX(0,ROUND(Ziele!C15-G82,2)),IF(Ziele!E15="",MAX(0,ROUND(Ziele!C15-G82,2)),Ziele!E15),K14+B15-C15-SUM(E15:I15))),2),"")</f>
        <v>0</v>
      </c>
      <c r="K15" s="7" t="n">
        <f aca="false">IF(AND(Ziele!$B$18="Plan bereit",9&lt;=Ziele!$B$5),ROUND(K14+B15-C15-SUM(E15:J15),2),"")</f>
        <v>0</v>
      </c>
      <c r="L15" s="7" t="n">
        <f aca="false">IF(AND(Ziele!$B$18="Plan bereit",9&lt;=Ziele!$B$5),ROUND(Ziele!$B$4+SUM(B$7:B15)-SUM(C$7:C15)-H83-K15-Ziele!$B$21,2),"")</f>
        <v>0</v>
      </c>
    </row>
    <row r="16" customFormat="false" ht="22.5" hidden="false" customHeight="true" outlineLevel="0" collapsed="false">
      <c r="A16" s="6" t="n">
        <f aca="false">IF(AND(Ziele!$B$18="Plan bereit",10&lt;=Ziele!$B$5),10,"")</f>
        <v>10</v>
      </c>
      <c r="B16" s="7" t="n">
        <f aca="false">IF(AND(Ziele!$B$18="Plan bereit",10&lt;=Ziele!$B$5),Budgets!E19,"")</f>
        <v>500</v>
      </c>
      <c r="C16" s="7" t="n">
        <f aca="false">IF(AND(Ziele!$B$18="Plan bereit",10&lt;=Ziele!$B$5),ROUND(MIN(Budgets!F19,K15+B16),2),"")</f>
        <v>150</v>
      </c>
      <c r="D16" s="7" t="n">
        <f aca="false">IF(AND(Ziele!$B$18="Plan bereit",10&lt;=Ziele!$B$5),ROUND(Budgets!F19-C16,2),"")</f>
        <v>0</v>
      </c>
      <c r="E16" s="7" t="n">
        <f aca="false">IF(AND(Ziele!$B$18="Plan bereit",10&lt;=Ziele!$B$5),ROUND(MAX(0,MIN(MAX(0,ROUND(Ziele!C10-B83,2)),IF(Ziele!E10="",MAX(0,ROUND(Ziele!C10-B83,2)),Ziele!E10),K15+B16-C16-0)),2),"")</f>
        <v>200</v>
      </c>
      <c r="F16" s="7" t="n">
        <f aca="false">IF(AND(Ziele!$B$18="Plan bereit",10&lt;=Ziele!$B$5),ROUND(MAX(0,MIN(MAX(0,ROUND(Ziele!C11-C83,2)),IF(Ziele!E11="",MAX(0,ROUND(Ziele!C11-C83,2)),Ziele!E11),K15+B16-C16-SUM(E16:E16))),2),"")</f>
        <v>150</v>
      </c>
      <c r="G16" s="7" t="n">
        <f aca="false">IF(AND(Ziele!$B$18="Plan bereit",10&lt;=Ziele!$B$5),ROUND(MAX(0,MIN(MAX(0,ROUND(Ziele!C12-D83,2)),IF(Ziele!E12="",MAX(0,ROUND(Ziele!C12-D83,2)),Ziele!E12),K15+B16-C16-SUM(E16:F16))),2),"")</f>
        <v>0</v>
      </c>
      <c r="H16" s="7" t="n">
        <f aca="false">IF(AND(Ziele!$B$18="Plan bereit",10&lt;=Ziele!$B$5),ROUND(MAX(0,MIN(MAX(0,ROUND(Ziele!C13-E83,2)),IF(Ziele!E13="",MAX(0,ROUND(Ziele!C13-E83,2)),Ziele!E13),K15+B16-C16-SUM(E16:G16))),2),"")</f>
        <v>0</v>
      </c>
      <c r="I16" s="7" t="n">
        <f aca="false">IF(AND(Ziele!$B$18="Plan bereit",10&lt;=Ziele!$B$5),ROUND(MAX(0,MIN(MAX(0,ROUND(Ziele!C14-F83,2)),IF(Ziele!E14="",MAX(0,ROUND(Ziele!C14-F83,2)),Ziele!E14),K15+B16-C16-SUM(E16:H16))),2),"")</f>
        <v>0</v>
      </c>
      <c r="J16" s="7" t="n">
        <f aca="false">IF(AND(Ziele!$B$18="Plan bereit",10&lt;=Ziele!$B$5),ROUND(MAX(0,MIN(MAX(0,ROUND(Ziele!C15-G83,2)),IF(Ziele!E15="",MAX(0,ROUND(Ziele!C15-G83,2)),Ziele!E15),K15+B16-C16-SUM(E16:I16))),2),"")</f>
        <v>0</v>
      </c>
      <c r="K16" s="7" t="n">
        <f aca="false">IF(AND(Ziele!$B$18="Plan bereit",10&lt;=Ziele!$B$5),ROUND(K15+B16-C16-SUM(E16:J16),2),"")</f>
        <v>0</v>
      </c>
      <c r="L16" s="7" t="n">
        <f aca="false">IF(AND(Ziele!$B$18="Plan bereit",10&lt;=Ziele!$B$5),ROUND(Ziele!$B$4+SUM(B$7:B16)-SUM(C$7:C16)-H84-K16-Ziele!$B$21,2),"")</f>
        <v>0</v>
      </c>
    </row>
    <row r="17" customFormat="false" ht="22.5" hidden="false" customHeight="true" outlineLevel="0" collapsed="false">
      <c r="A17" s="6" t="n">
        <f aca="false">IF(AND(Ziele!$B$18="Plan bereit",11&lt;=Ziele!$B$5),11,"")</f>
        <v>11</v>
      </c>
      <c r="B17" s="7" t="n">
        <f aca="false">IF(AND(Ziele!$B$18="Plan bereit",11&lt;=Ziele!$B$5),Budgets!E20,"")</f>
        <v>500</v>
      </c>
      <c r="C17" s="7" t="n">
        <f aca="false">IF(AND(Ziele!$B$18="Plan bereit",11&lt;=Ziele!$B$5),ROUND(MIN(Budgets!F20,K16+B17),2),"")</f>
        <v>150</v>
      </c>
      <c r="D17" s="7" t="n">
        <f aca="false">IF(AND(Ziele!$B$18="Plan bereit",11&lt;=Ziele!$B$5),ROUND(Budgets!F20-C17,2),"")</f>
        <v>0</v>
      </c>
      <c r="E17" s="7" t="n">
        <f aca="false">IF(AND(Ziele!$B$18="Plan bereit",11&lt;=Ziele!$B$5),ROUND(MAX(0,MIN(MAX(0,ROUND(Ziele!C10-B84,2)),IF(Ziele!E10="",MAX(0,ROUND(Ziele!C10-B84,2)),Ziele!E10),K16+B17-C17-0)),2),"")</f>
        <v>0</v>
      </c>
      <c r="F17" s="7" t="n">
        <f aca="false">IF(AND(Ziele!$B$18="Plan bereit",11&lt;=Ziele!$B$5),ROUND(MAX(0,MIN(MAX(0,ROUND(Ziele!C11-C84,2)),IF(Ziele!E11="",MAX(0,ROUND(Ziele!C11-C84,2)),Ziele!E11),K16+B17-C17-SUM(E17:E17))),2),"")</f>
        <v>350</v>
      </c>
      <c r="G17" s="7" t="n">
        <f aca="false">IF(AND(Ziele!$B$18="Plan bereit",11&lt;=Ziele!$B$5),ROUND(MAX(0,MIN(MAX(0,ROUND(Ziele!C12-D84,2)),IF(Ziele!E12="",MAX(0,ROUND(Ziele!C12-D84,2)),Ziele!E12),K16+B17-C17-SUM(E17:F17))),2),"")</f>
        <v>0</v>
      </c>
      <c r="H17" s="7" t="n">
        <f aca="false">IF(AND(Ziele!$B$18="Plan bereit",11&lt;=Ziele!$B$5),ROUND(MAX(0,MIN(MAX(0,ROUND(Ziele!C13-E84,2)),IF(Ziele!E13="",MAX(0,ROUND(Ziele!C13-E84,2)),Ziele!E13),K16+B17-C17-SUM(E17:G17))),2),"")</f>
        <v>0</v>
      </c>
      <c r="I17" s="7" t="n">
        <f aca="false">IF(AND(Ziele!$B$18="Plan bereit",11&lt;=Ziele!$B$5),ROUND(MAX(0,MIN(MAX(0,ROUND(Ziele!C14-F84,2)),IF(Ziele!E14="",MAX(0,ROUND(Ziele!C14-F84,2)),Ziele!E14),K16+B17-C17-SUM(E17:H17))),2),"")</f>
        <v>0</v>
      </c>
      <c r="J17" s="7" t="n">
        <f aca="false">IF(AND(Ziele!$B$18="Plan bereit",11&lt;=Ziele!$B$5),ROUND(MAX(0,MIN(MAX(0,ROUND(Ziele!C15-G84,2)),IF(Ziele!E15="",MAX(0,ROUND(Ziele!C15-G84,2)),Ziele!E15),K16+B17-C17-SUM(E17:I17))),2),"")</f>
        <v>0</v>
      </c>
      <c r="K17" s="7" t="n">
        <f aca="false">IF(AND(Ziele!$B$18="Plan bereit",11&lt;=Ziele!$B$5),ROUND(K16+B17-C17-SUM(E17:J17),2),"")</f>
        <v>0</v>
      </c>
      <c r="L17" s="7" t="n">
        <f aca="false">IF(AND(Ziele!$B$18="Plan bereit",11&lt;=Ziele!$B$5),ROUND(Ziele!$B$4+SUM(B$7:B17)-SUM(C$7:C17)-H85-K17-Ziele!$B$21,2),"")</f>
        <v>0</v>
      </c>
    </row>
    <row r="18" customFormat="false" ht="22.5" hidden="false" customHeight="true" outlineLevel="0" collapsed="false">
      <c r="A18" s="6" t="n">
        <f aca="false">IF(AND(Ziele!$B$18="Plan bereit",12&lt;=Ziele!$B$5),12,"")</f>
        <v>12</v>
      </c>
      <c r="B18" s="7" t="n">
        <f aca="false">IF(AND(Ziele!$B$18="Plan bereit",12&lt;=Ziele!$B$5),Budgets!E21,"")</f>
        <v>500</v>
      </c>
      <c r="C18" s="7" t="n">
        <f aca="false">IF(AND(Ziele!$B$18="Plan bereit",12&lt;=Ziele!$B$5),ROUND(MIN(Budgets!F21,K17+B18),2),"")</f>
        <v>150</v>
      </c>
      <c r="D18" s="7" t="n">
        <f aca="false">IF(AND(Ziele!$B$18="Plan bereit",12&lt;=Ziele!$B$5),ROUND(Budgets!F21-C18,2),"")</f>
        <v>0</v>
      </c>
      <c r="E18" s="7" t="n">
        <f aca="false">IF(AND(Ziele!$B$18="Plan bereit",12&lt;=Ziele!$B$5),ROUND(MAX(0,MIN(MAX(0,ROUND(Ziele!C10-B85,2)),IF(Ziele!E10="",MAX(0,ROUND(Ziele!C10-B85,2)),Ziele!E10),K17+B18-C18-0)),2),"")</f>
        <v>0</v>
      </c>
      <c r="F18" s="7" t="n">
        <f aca="false">IF(AND(Ziele!$B$18="Plan bereit",12&lt;=Ziele!$B$5),ROUND(MAX(0,MIN(MAX(0,ROUND(Ziele!C11-C85,2)),IF(Ziele!E11="",MAX(0,ROUND(Ziele!C11-C85,2)),Ziele!E11),K17+B18-C18-SUM(E18:E18))),2),"")</f>
        <v>350</v>
      </c>
      <c r="G18" s="7" t="n">
        <f aca="false">IF(AND(Ziele!$B$18="Plan bereit",12&lt;=Ziele!$B$5),ROUND(MAX(0,MIN(MAX(0,ROUND(Ziele!C12-D85,2)),IF(Ziele!E12="",MAX(0,ROUND(Ziele!C12-D85,2)),Ziele!E12),K17+B18-C18-SUM(E18:F18))),2),"")</f>
        <v>0</v>
      </c>
      <c r="H18" s="7" t="n">
        <f aca="false">IF(AND(Ziele!$B$18="Plan bereit",12&lt;=Ziele!$B$5),ROUND(MAX(0,MIN(MAX(0,ROUND(Ziele!C13-E85,2)),IF(Ziele!E13="",MAX(0,ROUND(Ziele!C13-E85,2)),Ziele!E13),K17+B18-C18-SUM(E18:G18))),2),"")</f>
        <v>0</v>
      </c>
      <c r="I18" s="7" t="n">
        <f aca="false">IF(AND(Ziele!$B$18="Plan bereit",12&lt;=Ziele!$B$5),ROUND(MAX(0,MIN(MAX(0,ROUND(Ziele!C14-F85,2)),IF(Ziele!E14="",MAX(0,ROUND(Ziele!C14-F85,2)),Ziele!E14),K17+B18-C18-SUM(E18:H18))),2),"")</f>
        <v>0</v>
      </c>
      <c r="J18" s="7" t="n">
        <f aca="false">IF(AND(Ziele!$B$18="Plan bereit",12&lt;=Ziele!$B$5),ROUND(MAX(0,MIN(MAX(0,ROUND(Ziele!C15-G85,2)),IF(Ziele!E15="",MAX(0,ROUND(Ziele!C15-G85,2)),Ziele!E15),K17+B18-C18-SUM(E18:I18))),2),"")</f>
        <v>0</v>
      </c>
      <c r="K18" s="7" t="n">
        <f aca="false">IF(AND(Ziele!$B$18="Plan bereit",12&lt;=Ziele!$B$5),ROUND(K17+B18-C18-SUM(E18:J18),2),"")</f>
        <v>0</v>
      </c>
      <c r="L18" s="7" t="n">
        <f aca="false">IF(AND(Ziele!$B$18="Plan bereit",12&lt;=Ziele!$B$5),ROUND(Ziele!$B$4+SUM(B$7:B18)-SUM(C$7:C18)-H86-K18-Ziele!$B$21,2),"")</f>
        <v>0</v>
      </c>
    </row>
    <row r="19" customFormat="false" ht="22.5" hidden="false" customHeight="true" outlineLevel="0" collapsed="false">
      <c r="A19" s="6" t="n">
        <f aca="false">IF(AND(Ziele!$B$18="Plan bereit",13&lt;=Ziele!$B$5),13,"")</f>
        <v>13</v>
      </c>
      <c r="B19" s="7" t="n">
        <f aca="false">IF(AND(Ziele!$B$18="Plan bereit",13&lt;=Ziele!$B$5),Budgets!E22,"")</f>
        <v>350</v>
      </c>
      <c r="C19" s="7" t="n">
        <f aca="false">IF(AND(Ziele!$B$18="Plan bereit",13&lt;=Ziele!$B$5),ROUND(MIN(Budgets!F22,K18+B19),2),"")</f>
        <v>150</v>
      </c>
      <c r="D19" s="7" t="n">
        <f aca="false">IF(AND(Ziele!$B$18="Plan bereit",13&lt;=Ziele!$B$5),ROUND(Budgets!F22-C19,2),"")</f>
        <v>0</v>
      </c>
      <c r="E19" s="7" t="n">
        <f aca="false">IF(AND(Ziele!$B$18="Plan bereit",13&lt;=Ziele!$B$5),ROUND(MAX(0,MIN(MAX(0,ROUND(Ziele!C10-B86,2)),IF(Ziele!E10="",MAX(0,ROUND(Ziele!C10-B86,2)),Ziele!E10),K18+B19-C19-0)),2),"")</f>
        <v>0</v>
      </c>
      <c r="F19" s="7" t="n">
        <f aca="false">IF(AND(Ziele!$B$18="Plan bereit",13&lt;=Ziele!$B$5),ROUND(MAX(0,MIN(MAX(0,ROUND(Ziele!C11-C86,2)),IF(Ziele!E11="",MAX(0,ROUND(Ziele!C11-C86,2)),Ziele!E11),K18+B19-C19-SUM(E19:E19))),2),"")</f>
        <v>200</v>
      </c>
      <c r="G19" s="7" t="n">
        <f aca="false">IF(AND(Ziele!$B$18="Plan bereit",13&lt;=Ziele!$B$5),ROUND(MAX(0,MIN(MAX(0,ROUND(Ziele!C12-D86,2)),IF(Ziele!E12="",MAX(0,ROUND(Ziele!C12-D86,2)),Ziele!E12),K18+B19-C19-SUM(E19:F19))),2),"")</f>
        <v>0</v>
      </c>
      <c r="H19" s="7" t="n">
        <f aca="false">IF(AND(Ziele!$B$18="Plan bereit",13&lt;=Ziele!$B$5),ROUND(MAX(0,MIN(MAX(0,ROUND(Ziele!C13-E86,2)),IF(Ziele!E13="",MAX(0,ROUND(Ziele!C13-E86,2)),Ziele!E13),K18+B19-C19-SUM(E19:G19))),2),"")</f>
        <v>0</v>
      </c>
      <c r="I19" s="7" t="n">
        <f aca="false">IF(AND(Ziele!$B$18="Plan bereit",13&lt;=Ziele!$B$5),ROUND(MAX(0,MIN(MAX(0,ROUND(Ziele!C14-F86,2)),IF(Ziele!E14="",MAX(0,ROUND(Ziele!C14-F86,2)),Ziele!E14),K18+B19-C19-SUM(E19:H19))),2),"")</f>
        <v>0</v>
      </c>
      <c r="J19" s="7" t="n">
        <f aca="false">IF(AND(Ziele!$B$18="Plan bereit",13&lt;=Ziele!$B$5),ROUND(MAX(0,MIN(MAX(0,ROUND(Ziele!C15-G86,2)),IF(Ziele!E15="",MAX(0,ROUND(Ziele!C15-G86,2)),Ziele!E15),K18+B19-C19-SUM(E19:I19))),2),"")</f>
        <v>0</v>
      </c>
      <c r="K19" s="7" t="n">
        <f aca="false">IF(AND(Ziele!$B$18="Plan bereit",13&lt;=Ziele!$B$5),ROUND(K18+B19-C19-SUM(E19:J19),2),"")</f>
        <v>0</v>
      </c>
      <c r="L19" s="7" t="n">
        <f aca="false">IF(AND(Ziele!$B$18="Plan bereit",13&lt;=Ziele!$B$5),ROUND(Ziele!$B$4+SUM(B$7:B19)-SUM(C$7:C19)-H87-K19-Ziele!$B$21,2),"")</f>
        <v>0</v>
      </c>
    </row>
    <row r="20" customFormat="false" ht="22.5" hidden="false" customHeight="true" outlineLevel="0" collapsed="false">
      <c r="A20" s="6" t="n">
        <f aca="false">IF(AND(Ziele!$B$18="Plan bereit",14&lt;=Ziele!$B$5),14,"")</f>
        <v>14</v>
      </c>
      <c r="B20" s="7" t="n">
        <f aca="false">IF(AND(Ziele!$B$18="Plan bereit",14&lt;=Ziele!$B$5),Budgets!E23,"")</f>
        <v>350</v>
      </c>
      <c r="C20" s="7" t="n">
        <f aca="false">IF(AND(Ziele!$B$18="Plan bereit",14&lt;=Ziele!$B$5),ROUND(MIN(Budgets!F23,K19+B20),2),"")</f>
        <v>150</v>
      </c>
      <c r="D20" s="7" t="n">
        <f aca="false">IF(AND(Ziele!$B$18="Plan bereit",14&lt;=Ziele!$B$5),ROUND(Budgets!F23-C20,2),"")</f>
        <v>0</v>
      </c>
      <c r="E20" s="7" t="n">
        <f aca="false">IF(AND(Ziele!$B$18="Plan bereit",14&lt;=Ziele!$B$5),ROUND(MAX(0,MIN(MAX(0,ROUND(Ziele!C10-B87,2)),IF(Ziele!E10="",MAX(0,ROUND(Ziele!C10-B87,2)),Ziele!E10),K19+B20-C20-0)),2),"")</f>
        <v>0</v>
      </c>
      <c r="F20" s="7" t="n">
        <f aca="false">IF(AND(Ziele!$B$18="Plan bereit",14&lt;=Ziele!$B$5),ROUND(MAX(0,MIN(MAX(0,ROUND(Ziele!C11-C87,2)),IF(Ziele!E11="",MAX(0,ROUND(Ziele!C11-C87,2)),Ziele!E11),K19+B20-C20-SUM(E20:E20))),2),"")</f>
        <v>200</v>
      </c>
      <c r="G20" s="7" t="n">
        <f aca="false">IF(AND(Ziele!$B$18="Plan bereit",14&lt;=Ziele!$B$5),ROUND(MAX(0,MIN(MAX(0,ROUND(Ziele!C12-D87,2)),IF(Ziele!E12="",MAX(0,ROUND(Ziele!C12-D87,2)),Ziele!E12),K19+B20-C20-SUM(E20:F20))),2),"")</f>
        <v>0</v>
      </c>
      <c r="H20" s="7" t="n">
        <f aca="false">IF(AND(Ziele!$B$18="Plan bereit",14&lt;=Ziele!$B$5),ROUND(MAX(0,MIN(MAX(0,ROUND(Ziele!C13-E87,2)),IF(Ziele!E13="",MAX(0,ROUND(Ziele!C13-E87,2)),Ziele!E13),K19+B20-C20-SUM(E20:G20))),2),"")</f>
        <v>0</v>
      </c>
      <c r="I20" s="7" t="n">
        <f aca="false">IF(AND(Ziele!$B$18="Plan bereit",14&lt;=Ziele!$B$5),ROUND(MAX(0,MIN(MAX(0,ROUND(Ziele!C14-F87,2)),IF(Ziele!E14="",MAX(0,ROUND(Ziele!C14-F87,2)),Ziele!E14),K19+B20-C20-SUM(E20:H20))),2),"")</f>
        <v>0</v>
      </c>
      <c r="J20" s="7" t="n">
        <f aca="false">IF(AND(Ziele!$B$18="Plan bereit",14&lt;=Ziele!$B$5),ROUND(MAX(0,MIN(MAX(0,ROUND(Ziele!C15-G87,2)),IF(Ziele!E15="",MAX(0,ROUND(Ziele!C15-G87,2)),Ziele!E15),K19+B20-C20-SUM(E20:I20))),2),"")</f>
        <v>0</v>
      </c>
      <c r="K20" s="7" t="n">
        <f aca="false">IF(AND(Ziele!$B$18="Plan bereit",14&lt;=Ziele!$B$5),ROUND(K19+B20-C20-SUM(E20:J20),2),"")</f>
        <v>0</v>
      </c>
      <c r="L20" s="7" t="n">
        <f aca="false">IF(AND(Ziele!$B$18="Plan bereit",14&lt;=Ziele!$B$5),ROUND(Ziele!$B$4+SUM(B$7:B20)-SUM(C$7:C20)-H88-K20-Ziele!$B$21,2),"")</f>
        <v>0</v>
      </c>
    </row>
    <row r="21" customFormat="false" ht="22.5" hidden="false" customHeight="true" outlineLevel="0" collapsed="false">
      <c r="A21" s="6" t="n">
        <f aca="false">IF(AND(Ziele!$B$18="Plan bereit",15&lt;=Ziele!$B$5),15,"")</f>
        <v>15</v>
      </c>
      <c r="B21" s="7" t="n">
        <f aca="false">IF(AND(Ziele!$B$18="Plan bereit",15&lt;=Ziele!$B$5),Budgets!E24,"")</f>
        <v>350</v>
      </c>
      <c r="C21" s="7" t="n">
        <f aca="false">IF(AND(Ziele!$B$18="Plan bereit",15&lt;=Ziele!$B$5),ROUND(MIN(Budgets!F24,K20+B21),2),"")</f>
        <v>150</v>
      </c>
      <c r="D21" s="7" t="n">
        <f aca="false">IF(AND(Ziele!$B$18="Plan bereit",15&lt;=Ziele!$B$5),ROUND(Budgets!F24-C21,2),"")</f>
        <v>0</v>
      </c>
      <c r="E21" s="7" t="n">
        <f aca="false">IF(AND(Ziele!$B$18="Plan bereit",15&lt;=Ziele!$B$5),ROUND(MAX(0,MIN(MAX(0,ROUND(Ziele!C10-B88,2)),IF(Ziele!E10="",MAX(0,ROUND(Ziele!C10-B88,2)),Ziele!E10),K20+B21-C21-0)),2),"")</f>
        <v>0</v>
      </c>
      <c r="F21" s="7" t="n">
        <f aca="false">IF(AND(Ziele!$B$18="Plan bereit",15&lt;=Ziele!$B$5),ROUND(MAX(0,MIN(MAX(0,ROUND(Ziele!C11-C88,2)),IF(Ziele!E11="",MAX(0,ROUND(Ziele!C11-C88,2)),Ziele!E11),K20+B21-C21-SUM(E21:E21))),2),"")</f>
        <v>200</v>
      </c>
      <c r="G21" s="7" t="n">
        <f aca="false">IF(AND(Ziele!$B$18="Plan bereit",15&lt;=Ziele!$B$5),ROUND(MAX(0,MIN(MAX(0,ROUND(Ziele!C12-D88,2)),IF(Ziele!E12="",MAX(0,ROUND(Ziele!C12-D88,2)),Ziele!E12),K20+B21-C21-SUM(E21:F21))),2),"")</f>
        <v>0</v>
      </c>
      <c r="H21" s="7" t="n">
        <f aca="false">IF(AND(Ziele!$B$18="Plan bereit",15&lt;=Ziele!$B$5),ROUND(MAX(0,MIN(MAX(0,ROUND(Ziele!C13-E88,2)),IF(Ziele!E13="",MAX(0,ROUND(Ziele!C13-E88,2)),Ziele!E13),K20+B21-C21-SUM(E21:G21))),2),"")</f>
        <v>0</v>
      </c>
      <c r="I21" s="7" t="n">
        <f aca="false">IF(AND(Ziele!$B$18="Plan bereit",15&lt;=Ziele!$B$5),ROUND(MAX(0,MIN(MAX(0,ROUND(Ziele!C14-F88,2)),IF(Ziele!E14="",MAX(0,ROUND(Ziele!C14-F88,2)),Ziele!E14),K20+B21-C21-SUM(E21:H21))),2),"")</f>
        <v>0</v>
      </c>
      <c r="J21" s="7" t="n">
        <f aca="false">IF(AND(Ziele!$B$18="Plan bereit",15&lt;=Ziele!$B$5),ROUND(MAX(0,MIN(MAX(0,ROUND(Ziele!C15-G88,2)),IF(Ziele!E15="",MAX(0,ROUND(Ziele!C15-G88,2)),Ziele!E15),K20+B21-C21-SUM(E21:I21))),2),"")</f>
        <v>0</v>
      </c>
      <c r="K21" s="7" t="n">
        <f aca="false">IF(AND(Ziele!$B$18="Plan bereit",15&lt;=Ziele!$B$5),ROUND(K20+B21-C21-SUM(E21:J21),2),"")</f>
        <v>0</v>
      </c>
      <c r="L21" s="7" t="n">
        <f aca="false">IF(AND(Ziele!$B$18="Plan bereit",15&lt;=Ziele!$B$5),ROUND(Ziele!$B$4+SUM(B$7:B21)-SUM(C$7:C21)-H89-K21-Ziele!$B$21,2),"")</f>
        <v>0</v>
      </c>
    </row>
    <row r="22" customFormat="false" ht="22.5" hidden="false" customHeight="true" outlineLevel="0" collapsed="false">
      <c r="A22" s="6" t="n">
        <f aca="false">IF(AND(Ziele!$B$18="Plan bereit",16&lt;=Ziele!$B$5),16,"")</f>
        <v>16</v>
      </c>
      <c r="B22" s="7" t="n">
        <f aca="false">IF(AND(Ziele!$B$18="Plan bereit",16&lt;=Ziele!$B$5),Budgets!E25,"")</f>
        <v>350</v>
      </c>
      <c r="C22" s="7" t="n">
        <f aca="false">IF(AND(Ziele!$B$18="Plan bereit",16&lt;=Ziele!$B$5),ROUND(MIN(Budgets!F25,K21+B22),2),"")</f>
        <v>150</v>
      </c>
      <c r="D22" s="7" t="n">
        <f aca="false">IF(AND(Ziele!$B$18="Plan bereit",16&lt;=Ziele!$B$5),ROUND(Budgets!F25-C22,2),"")</f>
        <v>0</v>
      </c>
      <c r="E22" s="7" t="n">
        <f aca="false">IF(AND(Ziele!$B$18="Plan bereit",16&lt;=Ziele!$B$5),ROUND(MAX(0,MIN(MAX(0,ROUND(Ziele!C10-B89,2)),IF(Ziele!E10="",MAX(0,ROUND(Ziele!C10-B89,2)),Ziele!E10),K21+B22-C22-0)),2),"")</f>
        <v>0</v>
      </c>
      <c r="F22" s="7" t="n">
        <f aca="false">IF(AND(Ziele!$B$18="Plan bereit",16&lt;=Ziele!$B$5),ROUND(MAX(0,MIN(MAX(0,ROUND(Ziele!C11-C89,2)),IF(Ziele!E11="",MAX(0,ROUND(Ziele!C11-C89,2)),Ziele!E11),K21+B22-C22-SUM(E22:E22))),2),"")</f>
        <v>200</v>
      </c>
      <c r="G22" s="7" t="n">
        <f aca="false">IF(AND(Ziele!$B$18="Plan bereit",16&lt;=Ziele!$B$5),ROUND(MAX(0,MIN(MAX(0,ROUND(Ziele!C12-D89,2)),IF(Ziele!E12="",MAX(0,ROUND(Ziele!C12-D89,2)),Ziele!E12),K21+B22-C22-SUM(E22:F22))),2),"")</f>
        <v>0</v>
      </c>
      <c r="H22" s="7" t="n">
        <f aca="false">IF(AND(Ziele!$B$18="Plan bereit",16&lt;=Ziele!$B$5),ROUND(MAX(0,MIN(MAX(0,ROUND(Ziele!C13-E89,2)),IF(Ziele!E13="",MAX(0,ROUND(Ziele!C13-E89,2)),Ziele!E13),K21+B22-C22-SUM(E22:G22))),2),"")</f>
        <v>0</v>
      </c>
      <c r="I22" s="7" t="n">
        <f aca="false">IF(AND(Ziele!$B$18="Plan bereit",16&lt;=Ziele!$B$5),ROUND(MAX(0,MIN(MAX(0,ROUND(Ziele!C14-F89,2)),IF(Ziele!E14="",MAX(0,ROUND(Ziele!C14-F89,2)),Ziele!E14),K21+B22-C22-SUM(E22:H22))),2),"")</f>
        <v>0</v>
      </c>
      <c r="J22" s="7" t="n">
        <f aca="false">IF(AND(Ziele!$B$18="Plan bereit",16&lt;=Ziele!$B$5),ROUND(MAX(0,MIN(MAX(0,ROUND(Ziele!C15-G89,2)),IF(Ziele!E15="",MAX(0,ROUND(Ziele!C15-G89,2)),Ziele!E15),K21+B22-C22-SUM(E22:I22))),2),"")</f>
        <v>0</v>
      </c>
      <c r="K22" s="7" t="n">
        <f aca="false">IF(AND(Ziele!$B$18="Plan bereit",16&lt;=Ziele!$B$5),ROUND(K21+B22-C22-SUM(E22:J22),2),"")</f>
        <v>0</v>
      </c>
      <c r="L22" s="7" t="n">
        <f aca="false">IF(AND(Ziele!$B$18="Plan bereit",16&lt;=Ziele!$B$5),ROUND(Ziele!$B$4+SUM(B$7:B22)-SUM(C$7:C22)-H90-K22-Ziele!$B$21,2),"")</f>
        <v>0</v>
      </c>
    </row>
    <row r="23" customFormat="false" ht="22.5" hidden="false" customHeight="true" outlineLevel="0" collapsed="false">
      <c r="A23" s="6" t="n">
        <f aca="false">IF(AND(Ziele!$B$18="Plan bereit",17&lt;=Ziele!$B$5),17,"")</f>
        <v>17</v>
      </c>
      <c r="B23" s="7" t="n">
        <f aca="false">IF(AND(Ziele!$B$18="Plan bereit",17&lt;=Ziele!$B$5),Budgets!E26,"")</f>
        <v>350</v>
      </c>
      <c r="C23" s="7" t="n">
        <f aca="false">IF(AND(Ziele!$B$18="Plan bereit",17&lt;=Ziele!$B$5),ROUND(MIN(Budgets!F26,K22+B23),2),"")</f>
        <v>150</v>
      </c>
      <c r="D23" s="7" t="n">
        <f aca="false">IF(AND(Ziele!$B$18="Plan bereit",17&lt;=Ziele!$B$5),ROUND(Budgets!F26-C23,2),"")</f>
        <v>0</v>
      </c>
      <c r="E23" s="7" t="n">
        <f aca="false">IF(AND(Ziele!$B$18="Plan bereit",17&lt;=Ziele!$B$5),ROUND(MAX(0,MIN(MAX(0,ROUND(Ziele!C10-B90,2)),IF(Ziele!E10="",MAX(0,ROUND(Ziele!C10-B90,2)),Ziele!E10),K22+B23-C23-0)),2),"")</f>
        <v>0</v>
      </c>
      <c r="F23" s="7" t="n">
        <f aca="false">IF(AND(Ziele!$B$18="Plan bereit",17&lt;=Ziele!$B$5),ROUND(MAX(0,MIN(MAX(0,ROUND(Ziele!C11-C90,2)),IF(Ziele!E11="",MAX(0,ROUND(Ziele!C11-C90,2)),Ziele!E11),K22+B23-C23-SUM(E23:E23))),2),"")</f>
        <v>200</v>
      </c>
      <c r="G23" s="7" t="n">
        <f aca="false">IF(AND(Ziele!$B$18="Plan bereit",17&lt;=Ziele!$B$5),ROUND(MAX(0,MIN(MAX(0,ROUND(Ziele!C12-D90,2)),IF(Ziele!E12="",MAX(0,ROUND(Ziele!C12-D90,2)),Ziele!E12),K22+B23-C23-SUM(E23:F23))),2),"")</f>
        <v>0</v>
      </c>
      <c r="H23" s="7" t="n">
        <f aca="false">IF(AND(Ziele!$B$18="Plan bereit",17&lt;=Ziele!$B$5),ROUND(MAX(0,MIN(MAX(0,ROUND(Ziele!C13-E90,2)),IF(Ziele!E13="",MAX(0,ROUND(Ziele!C13-E90,2)),Ziele!E13),K22+B23-C23-SUM(E23:G23))),2),"")</f>
        <v>0</v>
      </c>
      <c r="I23" s="7" t="n">
        <f aca="false">IF(AND(Ziele!$B$18="Plan bereit",17&lt;=Ziele!$B$5),ROUND(MAX(0,MIN(MAX(0,ROUND(Ziele!C14-F90,2)),IF(Ziele!E14="",MAX(0,ROUND(Ziele!C14-F90,2)),Ziele!E14),K22+B23-C23-SUM(E23:H23))),2),"")</f>
        <v>0</v>
      </c>
      <c r="J23" s="7" t="n">
        <f aca="false">IF(AND(Ziele!$B$18="Plan bereit",17&lt;=Ziele!$B$5),ROUND(MAX(0,MIN(MAX(0,ROUND(Ziele!C15-G90,2)),IF(Ziele!E15="",MAX(0,ROUND(Ziele!C15-G90,2)),Ziele!E15),K22+B23-C23-SUM(E23:I23))),2),"")</f>
        <v>0</v>
      </c>
      <c r="K23" s="7" t="n">
        <f aca="false">IF(AND(Ziele!$B$18="Plan bereit",17&lt;=Ziele!$B$5),ROUND(K22+B23-C23-SUM(E23:J23),2),"")</f>
        <v>0</v>
      </c>
      <c r="L23" s="7" t="n">
        <f aca="false">IF(AND(Ziele!$B$18="Plan bereit",17&lt;=Ziele!$B$5),ROUND(Ziele!$B$4+SUM(B$7:B23)-SUM(C$7:C23)-H91-K23-Ziele!$B$21,2),"")</f>
        <v>0</v>
      </c>
    </row>
    <row r="24" customFormat="false" ht="22.5" hidden="false" customHeight="true" outlineLevel="0" collapsed="false">
      <c r="A24" s="6" t="n">
        <f aca="false">IF(AND(Ziele!$B$18="Plan bereit",18&lt;=Ziele!$B$5),18,"")</f>
        <v>18</v>
      </c>
      <c r="B24" s="7" t="n">
        <f aca="false">IF(AND(Ziele!$B$18="Plan bereit",18&lt;=Ziele!$B$5),Budgets!E27,"")</f>
        <v>350</v>
      </c>
      <c r="C24" s="7" t="n">
        <f aca="false">IF(AND(Ziele!$B$18="Plan bereit",18&lt;=Ziele!$B$5),ROUND(MIN(Budgets!F27,K23+B24),2),"")</f>
        <v>150</v>
      </c>
      <c r="D24" s="7" t="n">
        <f aca="false">IF(AND(Ziele!$B$18="Plan bereit",18&lt;=Ziele!$B$5),ROUND(Budgets!F27-C24,2),"")</f>
        <v>0</v>
      </c>
      <c r="E24" s="7" t="n">
        <f aca="false">IF(AND(Ziele!$B$18="Plan bereit",18&lt;=Ziele!$B$5),ROUND(MAX(0,MIN(MAX(0,ROUND(Ziele!C10-B91,2)),IF(Ziele!E10="",MAX(0,ROUND(Ziele!C10-B91,2)),Ziele!E10),K23+B24-C24-0)),2),"")</f>
        <v>0</v>
      </c>
      <c r="F24" s="7" t="n">
        <f aca="false">IF(AND(Ziele!$B$18="Plan bereit",18&lt;=Ziele!$B$5),ROUND(MAX(0,MIN(MAX(0,ROUND(Ziele!C11-C91,2)),IF(Ziele!E11="",MAX(0,ROUND(Ziele!C11-C91,2)),Ziele!E11),K23+B24-C24-SUM(E24:E24))),2),"")</f>
        <v>200</v>
      </c>
      <c r="G24" s="7" t="n">
        <f aca="false">IF(AND(Ziele!$B$18="Plan bereit",18&lt;=Ziele!$B$5),ROUND(MAX(0,MIN(MAX(0,ROUND(Ziele!C12-D91,2)),IF(Ziele!E12="",MAX(0,ROUND(Ziele!C12-D91,2)),Ziele!E12),K23+B24-C24-SUM(E24:F24))),2),"")</f>
        <v>0</v>
      </c>
      <c r="H24" s="7" t="n">
        <f aca="false">IF(AND(Ziele!$B$18="Plan bereit",18&lt;=Ziele!$B$5),ROUND(MAX(0,MIN(MAX(0,ROUND(Ziele!C13-E91,2)),IF(Ziele!E13="",MAX(0,ROUND(Ziele!C13-E91,2)),Ziele!E13),K23+B24-C24-SUM(E24:G24))),2),"")</f>
        <v>0</v>
      </c>
      <c r="I24" s="7" t="n">
        <f aca="false">IF(AND(Ziele!$B$18="Plan bereit",18&lt;=Ziele!$B$5),ROUND(MAX(0,MIN(MAX(0,ROUND(Ziele!C14-F91,2)),IF(Ziele!E14="",MAX(0,ROUND(Ziele!C14-F91,2)),Ziele!E14),K23+B24-C24-SUM(E24:H24))),2),"")</f>
        <v>0</v>
      </c>
      <c r="J24" s="7" t="n">
        <f aca="false">IF(AND(Ziele!$B$18="Plan bereit",18&lt;=Ziele!$B$5),ROUND(MAX(0,MIN(MAX(0,ROUND(Ziele!C15-G91,2)),IF(Ziele!E15="",MAX(0,ROUND(Ziele!C15-G91,2)),Ziele!E15),K23+B24-C24-SUM(E24:I24))),2),"")</f>
        <v>0</v>
      </c>
      <c r="K24" s="7" t="n">
        <f aca="false">IF(AND(Ziele!$B$18="Plan bereit",18&lt;=Ziele!$B$5),ROUND(K23+B24-C24-SUM(E24:J24),2),"")</f>
        <v>0</v>
      </c>
      <c r="L24" s="7" t="n">
        <f aca="false">IF(AND(Ziele!$B$18="Plan bereit",18&lt;=Ziele!$B$5),ROUND(Ziele!$B$4+SUM(B$7:B24)-SUM(C$7:C24)-H92-K24-Ziele!$B$21,2),"")</f>
        <v>0</v>
      </c>
    </row>
    <row r="25" customFormat="false" ht="22.5" hidden="false" customHeight="true" outlineLevel="0" collapsed="false">
      <c r="A25" s="6" t="n">
        <f aca="false">IF(AND(Ziele!$B$18="Plan bereit",19&lt;=Ziele!$B$5),19,"")</f>
        <v>19</v>
      </c>
      <c r="B25" s="7" t="n">
        <f aca="false">IF(AND(Ziele!$B$18="Plan bereit",19&lt;=Ziele!$B$5),Budgets!E28,"")</f>
        <v>500</v>
      </c>
      <c r="C25" s="7" t="n">
        <f aca="false">IF(AND(Ziele!$B$18="Plan bereit",19&lt;=Ziele!$B$5),ROUND(MIN(Budgets!F28,K24+B25),2),"")</f>
        <v>150</v>
      </c>
      <c r="D25" s="7" t="n">
        <f aca="false">IF(AND(Ziele!$B$18="Plan bereit",19&lt;=Ziele!$B$5),ROUND(Budgets!F28-C25,2),"")</f>
        <v>0</v>
      </c>
      <c r="E25" s="7" t="n">
        <f aca="false">IF(AND(Ziele!$B$18="Plan bereit",19&lt;=Ziele!$B$5),ROUND(MAX(0,MIN(MAX(0,ROUND(Ziele!C10-B92,2)),IF(Ziele!E10="",MAX(0,ROUND(Ziele!C10-B92,2)),Ziele!E10),K24+B25-C25-0)),2),"")</f>
        <v>0</v>
      </c>
      <c r="F25" s="7" t="n">
        <f aca="false">IF(AND(Ziele!$B$18="Plan bereit",19&lt;=Ziele!$B$5),ROUND(MAX(0,MIN(MAX(0,ROUND(Ziele!C11-C92,2)),IF(Ziele!E11="",MAX(0,ROUND(Ziele!C11-C92,2)),Ziele!E11),K24+B25-C25-SUM(E25:E25))),2),"")</f>
        <v>350</v>
      </c>
      <c r="G25" s="7" t="n">
        <f aca="false">IF(AND(Ziele!$B$18="Plan bereit",19&lt;=Ziele!$B$5),ROUND(MAX(0,MIN(MAX(0,ROUND(Ziele!C12-D92,2)),IF(Ziele!E12="",MAX(0,ROUND(Ziele!C12-D92,2)),Ziele!E12),K24+B25-C25-SUM(E25:F25))),2),"")</f>
        <v>0</v>
      </c>
      <c r="H25" s="7" t="n">
        <f aca="false">IF(AND(Ziele!$B$18="Plan bereit",19&lt;=Ziele!$B$5),ROUND(MAX(0,MIN(MAX(0,ROUND(Ziele!C13-E92,2)),IF(Ziele!E13="",MAX(0,ROUND(Ziele!C13-E92,2)),Ziele!E13),K24+B25-C25-SUM(E25:G25))),2),"")</f>
        <v>0</v>
      </c>
      <c r="I25" s="7" t="n">
        <f aca="false">IF(AND(Ziele!$B$18="Plan bereit",19&lt;=Ziele!$B$5),ROUND(MAX(0,MIN(MAX(0,ROUND(Ziele!C14-F92,2)),IF(Ziele!E14="",MAX(0,ROUND(Ziele!C14-F92,2)),Ziele!E14),K24+B25-C25-SUM(E25:H25))),2),"")</f>
        <v>0</v>
      </c>
      <c r="J25" s="7" t="n">
        <f aca="false">IF(AND(Ziele!$B$18="Plan bereit",19&lt;=Ziele!$B$5),ROUND(MAX(0,MIN(MAX(0,ROUND(Ziele!C15-G92,2)),IF(Ziele!E15="",MAX(0,ROUND(Ziele!C15-G92,2)),Ziele!E15),K24+B25-C25-SUM(E25:I25))),2),"")</f>
        <v>0</v>
      </c>
      <c r="K25" s="7" t="n">
        <f aca="false">IF(AND(Ziele!$B$18="Plan bereit",19&lt;=Ziele!$B$5),ROUND(K24+B25-C25-SUM(E25:J25),2),"")</f>
        <v>0</v>
      </c>
      <c r="L25" s="7" t="n">
        <f aca="false">IF(AND(Ziele!$B$18="Plan bereit",19&lt;=Ziele!$B$5),ROUND(Ziele!$B$4+SUM(B$7:B25)-SUM(C$7:C25)-H93-K25-Ziele!$B$21,2),"")</f>
        <v>0</v>
      </c>
    </row>
    <row r="26" customFormat="false" ht="22.5" hidden="false" customHeight="true" outlineLevel="0" collapsed="false">
      <c r="A26" s="6" t="n">
        <f aca="false">IF(AND(Ziele!$B$18="Plan bereit",20&lt;=Ziele!$B$5),20,"")</f>
        <v>20</v>
      </c>
      <c r="B26" s="7" t="n">
        <f aca="false">IF(AND(Ziele!$B$18="Plan bereit",20&lt;=Ziele!$B$5),Budgets!E29,"")</f>
        <v>500</v>
      </c>
      <c r="C26" s="7" t="n">
        <f aca="false">IF(AND(Ziele!$B$18="Plan bereit",20&lt;=Ziele!$B$5),ROUND(MIN(Budgets!F29,K25+B26),2),"")</f>
        <v>150</v>
      </c>
      <c r="D26" s="7" t="n">
        <f aca="false">IF(AND(Ziele!$B$18="Plan bereit",20&lt;=Ziele!$B$5),ROUND(Budgets!F29-C26,2),"")</f>
        <v>0</v>
      </c>
      <c r="E26" s="7" t="n">
        <f aca="false">IF(AND(Ziele!$B$18="Plan bereit",20&lt;=Ziele!$B$5),ROUND(MAX(0,MIN(MAX(0,ROUND(Ziele!C10-B93,2)),IF(Ziele!E10="",MAX(0,ROUND(Ziele!C10-B93,2)),Ziele!E10),K25+B26-C26-0)),2),"")</f>
        <v>0</v>
      </c>
      <c r="F26" s="7" t="n">
        <f aca="false">IF(AND(Ziele!$B$18="Plan bereit",20&lt;=Ziele!$B$5),ROUND(MAX(0,MIN(MAX(0,ROUND(Ziele!C11-C93,2)),IF(Ziele!E11="",MAX(0,ROUND(Ziele!C11-C93,2)),Ziele!E11),K25+B26-C26-SUM(E26:E26))),2),"")</f>
        <v>350</v>
      </c>
      <c r="G26" s="7" t="n">
        <f aca="false">IF(AND(Ziele!$B$18="Plan bereit",20&lt;=Ziele!$B$5),ROUND(MAX(0,MIN(MAX(0,ROUND(Ziele!C12-D93,2)),IF(Ziele!E12="",MAX(0,ROUND(Ziele!C12-D93,2)),Ziele!E12),K25+B26-C26-SUM(E26:F26))),2),"")</f>
        <v>0</v>
      </c>
      <c r="H26" s="7" t="n">
        <f aca="false">IF(AND(Ziele!$B$18="Plan bereit",20&lt;=Ziele!$B$5),ROUND(MAX(0,MIN(MAX(0,ROUND(Ziele!C13-E93,2)),IF(Ziele!E13="",MAX(0,ROUND(Ziele!C13-E93,2)),Ziele!E13),K25+B26-C26-SUM(E26:G26))),2),"")</f>
        <v>0</v>
      </c>
      <c r="I26" s="7" t="n">
        <f aca="false">IF(AND(Ziele!$B$18="Plan bereit",20&lt;=Ziele!$B$5),ROUND(MAX(0,MIN(MAX(0,ROUND(Ziele!C14-F93,2)),IF(Ziele!E14="",MAX(0,ROUND(Ziele!C14-F93,2)),Ziele!E14),K25+B26-C26-SUM(E26:H26))),2),"")</f>
        <v>0</v>
      </c>
      <c r="J26" s="7" t="n">
        <f aca="false">IF(AND(Ziele!$B$18="Plan bereit",20&lt;=Ziele!$B$5),ROUND(MAX(0,MIN(MAX(0,ROUND(Ziele!C15-G93,2)),IF(Ziele!E15="",MAX(0,ROUND(Ziele!C15-G93,2)),Ziele!E15),K25+B26-C26-SUM(E26:I26))),2),"")</f>
        <v>0</v>
      </c>
      <c r="K26" s="7" t="n">
        <f aca="false">IF(AND(Ziele!$B$18="Plan bereit",20&lt;=Ziele!$B$5),ROUND(K25+B26-C26-SUM(E26:J26),2),"")</f>
        <v>0</v>
      </c>
      <c r="L26" s="7" t="n">
        <f aca="false">IF(AND(Ziele!$B$18="Plan bereit",20&lt;=Ziele!$B$5),ROUND(Ziele!$B$4+SUM(B$7:B26)-SUM(C$7:C26)-H94-K26-Ziele!$B$21,2),"")</f>
        <v>0</v>
      </c>
    </row>
    <row r="27" customFormat="false" ht="22.5" hidden="false" customHeight="true" outlineLevel="0" collapsed="false">
      <c r="A27" s="6" t="n">
        <f aca="false">IF(AND(Ziele!$B$18="Plan bereit",21&lt;=Ziele!$B$5),21,"")</f>
        <v>21</v>
      </c>
      <c r="B27" s="7" t="n">
        <f aca="false">IF(AND(Ziele!$B$18="Plan bereit",21&lt;=Ziele!$B$5),Budgets!E30,"")</f>
        <v>500</v>
      </c>
      <c r="C27" s="7" t="n">
        <f aca="false">IF(AND(Ziele!$B$18="Plan bereit",21&lt;=Ziele!$B$5),ROUND(MIN(Budgets!F30,K26+B27),2),"")</f>
        <v>150</v>
      </c>
      <c r="D27" s="7" t="n">
        <f aca="false">IF(AND(Ziele!$B$18="Plan bereit",21&lt;=Ziele!$B$5),ROUND(Budgets!F30-C27,2),"")</f>
        <v>0</v>
      </c>
      <c r="E27" s="7" t="n">
        <f aca="false">IF(AND(Ziele!$B$18="Plan bereit",21&lt;=Ziele!$B$5),ROUND(MAX(0,MIN(MAX(0,ROUND(Ziele!C10-B94,2)),IF(Ziele!E10="",MAX(0,ROUND(Ziele!C10-B94,2)),Ziele!E10),K26+B27-C27-0)),2),"")</f>
        <v>0</v>
      </c>
      <c r="F27" s="7" t="n">
        <f aca="false">IF(AND(Ziele!$B$18="Plan bereit",21&lt;=Ziele!$B$5),ROUND(MAX(0,MIN(MAX(0,ROUND(Ziele!C11-C94,2)),IF(Ziele!E11="",MAX(0,ROUND(Ziele!C11-C94,2)),Ziele!E11),K26+B27-C27-SUM(E27:E27))),2),"")</f>
        <v>350</v>
      </c>
      <c r="G27" s="7" t="n">
        <f aca="false">IF(AND(Ziele!$B$18="Plan bereit",21&lt;=Ziele!$B$5),ROUND(MAX(0,MIN(MAX(0,ROUND(Ziele!C12-D94,2)),IF(Ziele!E12="",MAX(0,ROUND(Ziele!C12-D94,2)),Ziele!E12),K26+B27-C27-SUM(E27:F27))),2),"")</f>
        <v>0</v>
      </c>
      <c r="H27" s="7" t="n">
        <f aca="false">IF(AND(Ziele!$B$18="Plan bereit",21&lt;=Ziele!$B$5),ROUND(MAX(0,MIN(MAX(0,ROUND(Ziele!C13-E94,2)),IF(Ziele!E13="",MAX(0,ROUND(Ziele!C13-E94,2)),Ziele!E13),K26+B27-C27-SUM(E27:G27))),2),"")</f>
        <v>0</v>
      </c>
      <c r="I27" s="7" t="n">
        <f aca="false">IF(AND(Ziele!$B$18="Plan bereit",21&lt;=Ziele!$B$5),ROUND(MAX(0,MIN(MAX(0,ROUND(Ziele!C14-F94,2)),IF(Ziele!E14="",MAX(0,ROUND(Ziele!C14-F94,2)),Ziele!E14),K26+B27-C27-SUM(E27:H27))),2),"")</f>
        <v>0</v>
      </c>
      <c r="J27" s="7" t="n">
        <f aca="false">IF(AND(Ziele!$B$18="Plan bereit",21&lt;=Ziele!$B$5),ROUND(MAX(0,MIN(MAX(0,ROUND(Ziele!C15-G94,2)),IF(Ziele!E15="",MAX(0,ROUND(Ziele!C15-G94,2)),Ziele!E15),K26+B27-C27-SUM(E27:I27))),2),"")</f>
        <v>0</v>
      </c>
      <c r="K27" s="7" t="n">
        <f aca="false">IF(AND(Ziele!$B$18="Plan bereit",21&lt;=Ziele!$B$5),ROUND(K26+B27-C27-SUM(E27:J27),2),"")</f>
        <v>0</v>
      </c>
      <c r="L27" s="7" t="n">
        <f aca="false">IF(AND(Ziele!$B$18="Plan bereit",21&lt;=Ziele!$B$5),ROUND(Ziele!$B$4+SUM(B$7:B27)-SUM(C$7:C27)-H95-K27-Ziele!$B$21,2),"")</f>
        <v>0</v>
      </c>
    </row>
    <row r="28" customFormat="false" ht="22.5" hidden="false" customHeight="true" outlineLevel="0" collapsed="false">
      <c r="A28" s="6" t="n">
        <f aca="false">IF(AND(Ziele!$B$18="Plan bereit",22&lt;=Ziele!$B$5),22,"")</f>
        <v>22</v>
      </c>
      <c r="B28" s="7" t="n">
        <f aca="false">IF(AND(Ziele!$B$18="Plan bereit",22&lt;=Ziele!$B$5),Budgets!E31,"")</f>
        <v>500</v>
      </c>
      <c r="C28" s="7" t="n">
        <f aca="false">IF(AND(Ziele!$B$18="Plan bereit",22&lt;=Ziele!$B$5),ROUND(MIN(Budgets!F31,K27+B28),2),"")</f>
        <v>150</v>
      </c>
      <c r="D28" s="7" t="n">
        <f aca="false">IF(AND(Ziele!$B$18="Plan bereit",22&lt;=Ziele!$B$5),ROUND(Budgets!F31-C28,2),"")</f>
        <v>0</v>
      </c>
      <c r="E28" s="7" t="n">
        <f aca="false">IF(AND(Ziele!$B$18="Plan bereit",22&lt;=Ziele!$B$5),ROUND(MAX(0,MIN(MAX(0,ROUND(Ziele!C10-B95,2)),IF(Ziele!E10="",MAX(0,ROUND(Ziele!C10-B95,2)),Ziele!E10),K27+B28-C28-0)),2),"")</f>
        <v>0</v>
      </c>
      <c r="F28" s="7" t="n">
        <f aca="false">IF(AND(Ziele!$B$18="Plan bereit",22&lt;=Ziele!$B$5),ROUND(MAX(0,MIN(MAX(0,ROUND(Ziele!C11-C95,2)),IF(Ziele!E11="",MAX(0,ROUND(Ziele!C11-C95,2)),Ziele!E11),K27+B28-C28-SUM(E28:E28))),2),"")</f>
        <v>350</v>
      </c>
      <c r="G28" s="7" t="n">
        <f aca="false">IF(AND(Ziele!$B$18="Plan bereit",22&lt;=Ziele!$B$5),ROUND(MAX(0,MIN(MAX(0,ROUND(Ziele!C12-D95,2)),IF(Ziele!E12="",MAX(0,ROUND(Ziele!C12-D95,2)),Ziele!E12),K27+B28-C28-SUM(E28:F28))),2),"")</f>
        <v>0</v>
      </c>
      <c r="H28" s="7" t="n">
        <f aca="false">IF(AND(Ziele!$B$18="Plan bereit",22&lt;=Ziele!$B$5),ROUND(MAX(0,MIN(MAX(0,ROUND(Ziele!C13-E95,2)),IF(Ziele!E13="",MAX(0,ROUND(Ziele!C13-E95,2)),Ziele!E13),K27+B28-C28-SUM(E28:G28))),2),"")</f>
        <v>0</v>
      </c>
      <c r="I28" s="7" t="n">
        <f aca="false">IF(AND(Ziele!$B$18="Plan bereit",22&lt;=Ziele!$B$5),ROUND(MAX(0,MIN(MAX(0,ROUND(Ziele!C14-F95,2)),IF(Ziele!E14="",MAX(0,ROUND(Ziele!C14-F95,2)),Ziele!E14),K27+B28-C28-SUM(E28:H28))),2),"")</f>
        <v>0</v>
      </c>
      <c r="J28" s="7" t="n">
        <f aca="false">IF(AND(Ziele!$B$18="Plan bereit",22&lt;=Ziele!$B$5),ROUND(MAX(0,MIN(MAX(0,ROUND(Ziele!C15-G95,2)),IF(Ziele!E15="",MAX(0,ROUND(Ziele!C15-G95,2)),Ziele!E15),K27+B28-C28-SUM(E28:I28))),2),"")</f>
        <v>0</v>
      </c>
      <c r="K28" s="7" t="n">
        <f aca="false">IF(AND(Ziele!$B$18="Plan bereit",22&lt;=Ziele!$B$5),ROUND(K27+B28-C28-SUM(E28:J28),2),"")</f>
        <v>0</v>
      </c>
      <c r="L28" s="7" t="n">
        <f aca="false">IF(AND(Ziele!$B$18="Plan bereit",22&lt;=Ziele!$B$5),ROUND(Ziele!$B$4+SUM(B$7:B28)-SUM(C$7:C28)-H96-K28-Ziele!$B$21,2),"")</f>
        <v>0</v>
      </c>
    </row>
    <row r="29" customFormat="false" ht="22.5" hidden="false" customHeight="true" outlineLevel="0" collapsed="false">
      <c r="A29" s="6" t="n">
        <f aca="false">IF(AND(Ziele!$B$18="Plan bereit",23&lt;=Ziele!$B$5),23,"")</f>
        <v>23</v>
      </c>
      <c r="B29" s="7" t="n">
        <f aca="false">IF(AND(Ziele!$B$18="Plan bereit",23&lt;=Ziele!$B$5),Budgets!E32,"")</f>
        <v>500</v>
      </c>
      <c r="C29" s="7" t="n">
        <f aca="false">IF(AND(Ziele!$B$18="Plan bereit",23&lt;=Ziele!$B$5),ROUND(MIN(Budgets!F32,K28+B29),2),"")</f>
        <v>150</v>
      </c>
      <c r="D29" s="7" t="n">
        <f aca="false">IF(AND(Ziele!$B$18="Plan bereit",23&lt;=Ziele!$B$5),ROUND(Budgets!F32-C29,2),"")</f>
        <v>0</v>
      </c>
      <c r="E29" s="7" t="n">
        <f aca="false">IF(AND(Ziele!$B$18="Plan bereit",23&lt;=Ziele!$B$5),ROUND(MAX(0,MIN(MAX(0,ROUND(Ziele!C10-B96,2)),IF(Ziele!E10="",MAX(0,ROUND(Ziele!C10-B96,2)),Ziele!E10),K28+B29-C29-0)),2),"")</f>
        <v>0</v>
      </c>
      <c r="F29" s="7" t="n">
        <f aca="false">IF(AND(Ziele!$B$18="Plan bereit",23&lt;=Ziele!$B$5),ROUND(MAX(0,MIN(MAX(0,ROUND(Ziele!C11-C96,2)),IF(Ziele!E11="",MAX(0,ROUND(Ziele!C11-C96,2)),Ziele!E11),K28+B29-C29-SUM(E29:E29))),2),"")</f>
        <v>350</v>
      </c>
      <c r="G29" s="7" t="n">
        <f aca="false">IF(AND(Ziele!$B$18="Plan bereit",23&lt;=Ziele!$B$5),ROUND(MAX(0,MIN(MAX(0,ROUND(Ziele!C12-D96,2)),IF(Ziele!E12="",MAX(0,ROUND(Ziele!C12-D96,2)),Ziele!E12),K28+B29-C29-SUM(E29:F29))),2),"")</f>
        <v>0</v>
      </c>
      <c r="H29" s="7" t="n">
        <f aca="false">IF(AND(Ziele!$B$18="Plan bereit",23&lt;=Ziele!$B$5),ROUND(MAX(0,MIN(MAX(0,ROUND(Ziele!C13-E96,2)),IF(Ziele!E13="",MAX(0,ROUND(Ziele!C13-E96,2)),Ziele!E13),K28+B29-C29-SUM(E29:G29))),2),"")</f>
        <v>0</v>
      </c>
      <c r="I29" s="7" t="n">
        <f aca="false">IF(AND(Ziele!$B$18="Plan bereit",23&lt;=Ziele!$B$5),ROUND(MAX(0,MIN(MAX(0,ROUND(Ziele!C14-F96,2)),IF(Ziele!E14="",MAX(0,ROUND(Ziele!C14-F96,2)),Ziele!E14),K28+B29-C29-SUM(E29:H29))),2),"")</f>
        <v>0</v>
      </c>
      <c r="J29" s="7" t="n">
        <f aca="false">IF(AND(Ziele!$B$18="Plan bereit",23&lt;=Ziele!$B$5),ROUND(MAX(0,MIN(MAX(0,ROUND(Ziele!C15-G96,2)),IF(Ziele!E15="",MAX(0,ROUND(Ziele!C15-G96,2)),Ziele!E15),K28+B29-C29-SUM(E29:I29))),2),"")</f>
        <v>0</v>
      </c>
      <c r="K29" s="7" t="n">
        <f aca="false">IF(AND(Ziele!$B$18="Plan bereit",23&lt;=Ziele!$B$5),ROUND(K28+B29-C29-SUM(E29:J29),2),"")</f>
        <v>0</v>
      </c>
      <c r="L29" s="7" t="n">
        <f aca="false">IF(AND(Ziele!$B$18="Plan bereit",23&lt;=Ziele!$B$5),ROUND(Ziele!$B$4+SUM(B$7:B29)-SUM(C$7:C29)-H97-K29-Ziele!$B$21,2),"")</f>
        <v>0</v>
      </c>
    </row>
    <row r="30" customFormat="false" ht="22.5" hidden="false" customHeight="true" outlineLevel="0" collapsed="false">
      <c r="A30" s="6" t="n">
        <f aca="false">IF(AND(Ziele!$B$18="Plan bereit",24&lt;=Ziele!$B$5),24,"")</f>
        <v>24</v>
      </c>
      <c r="B30" s="7" t="n">
        <f aca="false">IF(AND(Ziele!$B$18="Plan bereit",24&lt;=Ziele!$B$5),Budgets!E33,"")</f>
        <v>500</v>
      </c>
      <c r="C30" s="7" t="n">
        <f aca="false">IF(AND(Ziele!$B$18="Plan bereit",24&lt;=Ziele!$B$5),ROUND(MIN(Budgets!F33,K29+B30),2),"")</f>
        <v>150</v>
      </c>
      <c r="D30" s="7" t="n">
        <f aca="false">IF(AND(Ziele!$B$18="Plan bereit",24&lt;=Ziele!$B$5),ROUND(Budgets!F33-C30,2),"")</f>
        <v>0</v>
      </c>
      <c r="E30" s="7" t="n">
        <f aca="false">IF(AND(Ziele!$B$18="Plan bereit",24&lt;=Ziele!$B$5),ROUND(MAX(0,MIN(MAX(0,ROUND(Ziele!C10-B97,2)),IF(Ziele!E10="",MAX(0,ROUND(Ziele!C10-B97,2)),Ziele!E10),K29+B30-C30-0)),2),"")</f>
        <v>0</v>
      </c>
      <c r="F30" s="7" t="n">
        <f aca="false">IF(AND(Ziele!$B$18="Plan bereit",24&lt;=Ziele!$B$5),ROUND(MAX(0,MIN(MAX(0,ROUND(Ziele!C11-C97,2)),IF(Ziele!E11="",MAX(0,ROUND(Ziele!C11-C97,2)),Ziele!E11),K29+B30-C30-SUM(E30:E30))),2),"")</f>
        <v>350</v>
      </c>
      <c r="G30" s="7" t="n">
        <f aca="false">IF(AND(Ziele!$B$18="Plan bereit",24&lt;=Ziele!$B$5),ROUND(MAX(0,MIN(MAX(0,ROUND(Ziele!C12-D97,2)),IF(Ziele!E12="",MAX(0,ROUND(Ziele!C12-D97,2)),Ziele!E12),K29+B30-C30-SUM(E30:F30))),2),"")</f>
        <v>0</v>
      </c>
      <c r="H30" s="7" t="n">
        <f aca="false">IF(AND(Ziele!$B$18="Plan bereit",24&lt;=Ziele!$B$5),ROUND(MAX(0,MIN(MAX(0,ROUND(Ziele!C13-E97,2)),IF(Ziele!E13="",MAX(0,ROUND(Ziele!C13-E97,2)),Ziele!E13),K29+B30-C30-SUM(E30:G30))),2),"")</f>
        <v>0</v>
      </c>
      <c r="I30" s="7" t="n">
        <f aca="false">IF(AND(Ziele!$B$18="Plan bereit",24&lt;=Ziele!$B$5),ROUND(MAX(0,MIN(MAX(0,ROUND(Ziele!C14-F97,2)),IF(Ziele!E14="",MAX(0,ROUND(Ziele!C14-F97,2)),Ziele!E14),K29+B30-C30-SUM(E30:H30))),2),"")</f>
        <v>0</v>
      </c>
      <c r="J30" s="7" t="n">
        <f aca="false">IF(AND(Ziele!$B$18="Plan bereit",24&lt;=Ziele!$B$5),ROUND(MAX(0,MIN(MAX(0,ROUND(Ziele!C15-G97,2)),IF(Ziele!E15="",MAX(0,ROUND(Ziele!C15-G97,2)),Ziele!E15),K29+B30-C30-SUM(E30:I30))),2),"")</f>
        <v>0</v>
      </c>
      <c r="K30" s="7" t="n">
        <f aca="false">IF(AND(Ziele!$B$18="Plan bereit",24&lt;=Ziele!$B$5),ROUND(K29+B30-C30-SUM(E30:J30),2),"")</f>
        <v>0</v>
      </c>
      <c r="L30" s="7" t="n">
        <f aca="false">IF(AND(Ziele!$B$18="Plan bereit",24&lt;=Ziele!$B$5),ROUND(Ziele!$B$4+SUM(B$7:B30)-SUM(C$7:C30)-H98-K30-Ziele!$B$21,2),"")</f>
        <v>0</v>
      </c>
    </row>
    <row r="31" customFormat="false" ht="22.5" hidden="false" customHeight="true" outlineLevel="0" collapsed="false">
      <c r="A31" s="6" t="n">
        <f aca="false">IF(AND(Ziele!$B$18="Plan bereit",25&lt;=Ziele!$B$5),25,"")</f>
        <v>25</v>
      </c>
      <c r="B31" s="7" t="n">
        <f aca="false">IF(AND(Ziele!$B$18="Plan bereit",25&lt;=Ziele!$B$5),Budgets!E34,"")</f>
        <v>500</v>
      </c>
      <c r="C31" s="7" t="n">
        <f aca="false">IF(AND(Ziele!$B$18="Plan bereit",25&lt;=Ziele!$B$5),ROUND(MIN(Budgets!F34,K30+B31),2),"")</f>
        <v>150</v>
      </c>
      <c r="D31" s="7" t="n">
        <f aca="false">IF(AND(Ziele!$B$18="Plan bereit",25&lt;=Ziele!$B$5),ROUND(Budgets!F34-C31,2),"")</f>
        <v>0</v>
      </c>
      <c r="E31" s="7" t="n">
        <f aca="false">IF(AND(Ziele!$B$18="Plan bereit",25&lt;=Ziele!$B$5),ROUND(MAX(0,MIN(MAX(0,ROUND(Ziele!C10-B98,2)),IF(Ziele!E10="",MAX(0,ROUND(Ziele!C10-B98,2)),Ziele!E10),K30+B31-C31-0)),2),"")</f>
        <v>0</v>
      </c>
      <c r="F31" s="7" t="n">
        <f aca="false">IF(AND(Ziele!$B$18="Plan bereit",25&lt;=Ziele!$B$5),ROUND(MAX(0,MIN(MAX(0,ROUND(Ziele!C11-C98,2)),IF(Ziele!E11="",MAX(0,ROUND(Ziele!C11-C98,2)),Ziele!E11),K30+B31-C31-SUM(E31:E31))),2),"")</f>
        <v>350</v>
      </c>
      <c r="G31" s="7" t="n">
        <f aca="false">IF(AND(Ziele!$B$18="Plan bereit",25&lt;=Ziele!$B$5),ROUND(MAX(0,MIN(MAX(0,ROUND(Ziele!C12-D98,2)),IF(Ziele!E12="",MAX(0,ROUND(Ziele!C12-D98,2)),Ziele!E12),K30+B31-C31-SUM(E31:F31))),2),"")</f>
        <v>0</v>
      </c>
      <c r="H31" s="7" t="n">
        <f aca="false">IF(AND(Ziele!$B$18="Plan bereit",25&lt;=Ziele!$B$5),ROUND(MAX(0,MIN(MAX(0,ROUND(Ziele!C13-E98,2)),IF(Ziele!E13="",MAX(0,ROUND(Ziele!C13-E98,2)),Ziele!E13),K30+B31-C31-SUM(E31:G31))),2),"")</f>
        <v>0</v>
      </c>
      <c r="I31" s="7" t="n">
        <f aca="false">IF(AND(Ziele!$B$18="Plan bereit",25&lt;=Ziele!$B$5),ROUND(MAX(0,MIN(MAX(0,ROUND(Ziele!C14-F98,2)),IF(Ziele!E14="",MAX(0,ROUND(Ziele!C14-F98,2)),Ziele!E14),K30+B31-C31-SUM(E31:H31))),2),"")</f>
        <v>0</v>
      </c>
      <c r="J31" s="7" t="n">
        <f aca="false">IF(AND(Ziele!$B$18="Plan bereit",25&lt;=Ziele!$B$5),ROUND(MAX(0,MIN(MAX(0,ROUND(Ziele!C15-G98,2)),IF(Ziele!E15="",MAX(0,ROUND(Ziele!C15-G98,2)),Ziele!E15),K30+B31-C31-SUM(E31:I31))),2),"")</f>
        <v>0</v>
      </c>
      <c r="K31" s="7" t="n">
        <f aca="false">IF(AND(Ziele!$B$18="Plan bereit",25&lt;=Ziele!$B$5),ROUND(K30+B31-C31-SUM(E31:J31),2),"")</f>
        <v>0</v>
      </c>
      <c r="L31" s="7" t="n">
        <f aca="false">IF(AND(Ziele!$B$18="Plan bereit",25&lt;=Ziele!$B$5),ROUND(Ziele!$B$4+SUM(B$7:B31)-SUM(C$7:C31)-H99-K31-Ziele!$B$21,2),"")</f>
        <v>0</v>
      </c>
    </row>
    <row r="32" customFormat="false" ht="22.5" hidden="false" customHeight="true" outlineLevel="0" collapsed="false">
      <c r="A32" s="6" t="n">
        <f aca="false">IF(AND(Ziele!$B$18="Plan bereit",26&lt;=Ziele!$B$5),26,"")</f>
        <v>26</v>
      </c>
      <c r="B32" s="7" t="n">
        <f aca="false">IF(AND(Ziele!$B$18="Plan bereit",26&lt;=Ziele!$B$5),Budgets!E35,"")</f>
        <v>500</v>
      </c>
      <c r="C32" s="7" t="n">
        <f aca="false">IF(AND(Ziele!$B$18="Plan bereit",26&lt;=Ziele!$B$5),ROUND(MIN(Budgets!F35,K31+B32),2),"")</f>
        <v>150</v>
      </c>
      <c r="D32" s="7" t="n">
        <f aca="false">IF(AND(Ziele!$B$18="Plan bereit",26&lt;=Ziele!$B$5),ROUND(Budgets!F35-C32,2),"")</f>
        <v>0</v>
      </c>
      <c r="E32" s="7" t="n">
        <f aca="false">IF(AND(Ziele!$B$18="Plan bereit",26&lt;=Ziele!$B$5),ROUND(MAX(0,MIN(MAX(0,ROUND(Ziele!C10-B99,2)),IF(Ziele!E10="",MAX(0,ROUND(Ziele!C10-B99,2)),Ziele!E10),K31+B32-C32-0)),2),"")</f>
        <v>0</v>
      </c>
      <c r="F32" s="7" t="n">
        <f aca="false">IF(AND(Ziele!$B$18="Plan bereit",26&lt;=Ziele!$B$5),ROUND(MAX(0,MIN(MAX(0,ROUND(Ziele!C11-C99,2)),IF(Ziele!E11="",MAX(0,ROUND(Ziele!C11-C99,2)),Ziele!E11),K31+B32-C32-SUM(E32:E32))),2),"")</f>
        <v>350</v>
      </c>
      <c r="G32" s="7" t="n">
        <f aca="false">IF(AND(Ziele!$B$18="Plan bereit",26&lt;=Ziele!$B$5),ROUND(MAX(0,MIN(MAX(0,ROUND(Ziele!C12-D99,2)),IF(Ziele!E12="",MAX(0,ROUND(Ziele!C12-D99,2)),Ziele!E12),K31+B32-C32-SUM(E32:F32))),2),"")</f>
        <v>0</v>
      </c>
      <c r="H32" s="7" t="n">
        <f aca="false">IF(AND(Ziele!$B$18="Plan bereit",26&lt;=Ziele!$B$5),ROUND(MAX(0,MIN(MAX(0,ROUND(Ziele!C13-E99,2)),IF(Ziele!E13="",MAX(0,ROUND(Ziele!C13-E99,2)),Ziele!E13),K31+B32-C32-SUM(E32:G32))),2),"")</f>
        <v>0</v>
      </c>
      <c r="I32" s="7" t="n">
        <f aca="false">IF(AND(Ziele!$B$18="Plan bereit",26&lt;=Ziele!$B$5),ROUND(MAX(0,MIN(MAX(0,ROUND(Ziele!C14-F99,2)),IF(Ziele!E14="",MAX(0,ROUND(Ziele!C14-F99,2)),Ziele!E14),K31+B32-C32-SUM(E32:H32))),2),"")</f>
        <v>0</v>
      </c>
      <c r="J32" s="7" t="n">
        <f aca="false">IF(AND(Ziele!$B$18="Plan bereit",26&lt;=Ziele!$B$5),ROUND(MAX(0,MIN(MAX(0,ROUND(Ziele!C15-G99,2)),IF(Ziele!E15="",MAX(0,ROUND(Ziele!C15-G99,2)),Ziele!E15),K31+B32-C32-SUM(E32:I32))),2),"")</f>
        <v>0</v>
      </c>
      <c r="K32" s="7" t="n">
        <f aca="false">IF(AND(Ziele!$B$18="Plan bereit",26&lt;=Ziele!$B$5),ROUND(K31+B32-C32-SUM(E32:J32),2),"")</f>
        <v>0</v>
      </c>
      <c r="L32" s="7" t="n">
        <f aca="false">IF(AND(Ziele!$B$18="Plan bereit",26&lt;=Ziele!$B$5),ROUND(Ziele!$B$4+SUM(B$7:B32)-SUM(C$7:C32)-H100-K32-Ziele!$B$21,2),"")</f>
        <v>0</v>
      </c>
    </row>
    <row r="33" customFormat="false" ht="22.5" hidden="false" customHeight="true" outlineLevel="0" collapsed="false">
      <c r="A33" s="6" t="n">
        <f aca="false">IF(AND(Ziele!$B$18="Plan bereit",27&lt;=Ziele!$B$5),27,"")</f>
        <v>27</v>
      </c>
      <c r="B33" s="7" t="n">
        <f aca="false">IF(AND(Ziele!$B$18="Plan bereit",27&lt;=Ziele!$B$5),Budgets!E36,"")</f>
        <v>500</v>
      </c>
      <c r="C33" s="7" t="n">
        <f aca="false">IF(AND(Ziele!$B$18="Plan bereit",27&lt;=Ziele!$B$5),ROUND(MIN(Budgets!F36,K32+B33),2),"")</f>
        <v>150</v>
      </c>
      <c r="D33" s="7" t="n">
        <f aca="false">IF(AND(Ziele!$B$18="Plan bereit",27&lt;=Ziele!$B$5),ROUND(Budgets!F36-C33,2),"")</f>
        <v>0</v>
      </c>
      <c r="E33" s="7" t="n">
        <f aca="false">IF(AND(Ziele!$B$18="Plan bereit",27&lt;=Ziele!$B$5),ROUND(MAX(0,MIN(MAX(0,ROUND(Ziele!C10-B100,2)),IF(Ziele!E10="",MAX(0,ROUND(Ziele!C10-B100,2)),Ziele!E10),K32+B33-C33-0)),2),"")</f>
        <v>0</v>
      </c>
      <c r="F33" s="7" t="n">
        <f aca="false">IF(AND(Ziele!$B$18="Plan bereit",27&lt;=Ziele!$B$5),ROUND(MAX(0,MIN(MAX(0,ROUND(Ziele!C11-C100,2)),IF(Ziele!E11="",MAX(0,ROUND(Ziele!C11-C100,2)),Ziele!E11),K32+B33-C33-SUM(E33:E33))),2),"")</f>
        <v>350</v>
      </c>
      <c r="G33" s="7" t="n">
        <f aca="false">IF(AND(Ziele!$B$18="Plan bereit",27&lt;=Ziele!$B$5),ROUND(MAX(0,MIN(MAX(0,ROUND(Ziele!C12-D100,2)),IF(Ziele!E12="",MAX(0,ROUND(Ziele!C12-D100,2)),Ziele!E12),K32+B33-C33-SUM(E33:F33))),2),"")</f>
        <v>0</v>
      </c>
      <c r="H33" s="7" t="n">
        <f aca="false">IF(AND(Ziele!$B$18="Plan bereit",27&lt;=Ziele!$B$5),ROUND(MAX(0,MIN(MAX(0,ROUND(Ziele!C13-E100,2)),IF(Ziele!E13="",MAX(0,ROUND(Ziele!C13-E100,2)),Ziele!E13),K32+B33-C33-SUM(E33:G33))),2),"")</f>
        <v>0</v>
      </c>
      <c r="I33" s="7" t="n">
        <f aca="false">IF(AND(Ziele!$B$18="Plan bereit",27&lt;=Ziele!$B$5),ROUND(MAX(0,MIN(MAX(0,ROUND(Ziele!C14-F100,2)),IF(Ziele!E14="",MAX(0,ROUND(Ziele!C14-F100,2)),Ziele!E14),K32+B33-C33-SUM(E33:H33))),2),"")</f>
        <v>0</v>
      </c>
      <c r="J33" s="7" t="n">
        <f aca="false">IF(AND(Ziele!$B$18="Plan bereit",27&lt;=Ziele!$B$5),ROUND(MAX(0,MIN(MAX(0,ROUND(Ziele!C15-G100,2)),IF(Ziele!E15="",MAX(0,ROUND(Ziele!C15-G100,2)),Ziele!E15),K32+B33-C33-SUM(E33:I33))),2),"")</f>
        <v>0</v>
      </c>
      <c r="K33" s="7" t="n">
        <f aca="false">IF(AND(Ziele!$B$18="Plan bereit",27&lt;=Ziele!$B$5),ROUND(K32+B33-C33-SUM(E33:J33),2),"")</f>
        <v>0</v>
      </c>
      <c r="L33" s="7" t="n">
        <f aca="false">IF(AND(Ziele!$B$18="Plan bereit",27&lt;=Ziele!$B$5),ROUND(Ziele!$B$4+SUM(B$7:B33)-SUM(C$7:C33)-H101-K33-Ziele!$B$21,2),"")</f>
        <v>0</v>
      </c>
    </row>
    <row r="34" customFormat="false" ht="22.5" hidden="false" customHeight="true" outlineLevel="0" collapsed="false">
      <c r="A34" s="6" t="n">
        <f aca="false">IF(AND(Ziele!$B$18="Plan bereit",28&lt;=Ziele!$B$5),28,"")</f>
        <v>28</v>
      </c>
      <c r="B34" s="7" t="n">
        <f aca="false">IF(AND(Ziele!$B$18="Plan bereit",28&lt;=Ziele!$B$5),Budgets!E37,"")</f>
        <v>500</v>
      </c>
      <c r="C34" s="7" t="n">
        <f aca="false">IF(AND(Ziele!$B$18="Plan bereit",28&lt;=Ziele!$B$5),ROUND(MIN(Budgets!F37,K33+B34),2),"")</f>
        <v>150</v>
      </c>
      <c r="D34" s="7" t="n">
        <f aca="false">IF(AND(Ziele!$B$18="Plan bereit",28&lt;=Ziele!$B$5),ROUND(Budgets!F37-C34,2),"")</f>
        <v>0</v>
      </c>
      <c r="E34" s="7" t="n">
        <f aca="false">IF(AND(Ziele!$B$18="Plan bereit",28&lt;=Ziele!$B$5),ROUND(MAX(0,MIN(MAX(0,ROUND(Ziele!C10-B101,2)),IF(Ziele!E10="",MAX(0,ROUND(Ziele!C10-B101,2)),Ziele!E10),K33+B34-C34-0)),2),"")</f>
        <v>0</v>
      </c>
      <c r="F34" s="7" t="n">
        <f aca="false">IF(AND(Ziele!$B$18="Plan bereit",28&lt;=Ziele!$B$5),ROUND(MAX(0,MIN(MAX(0,ROUND(Ziele!C11-C101,2)),IF(Ziele!E11="",MAX(0,ROUND(Ziele!C11-C101,2)),Ziele!E11),K33+B34-C34-SUM(E34:E34))),2),"")</f>
        <v>350</v>
      </c>
      <c r="G34" s="7" t="n">
        <f aca="false">IF(AND(Ziele!$B$18="Plan bereit",28&lt;=Ziele!$B$5),ROUND(MAX(0,MIN(MAX(0,ROUND(Ziele!C12-D101,2)),IF(Ziele!E12="",MAX(0,ROUND(Ziele!C12-D101,2)),Ziele!E12),K33+B34-C34-SUM(E34:F34))),2),"")</f>
        <v>0</v>
      </c>
      <c r="H34" s="7" t="n">
        <f aca="false">IF(AND(Ziele!$B$18="Plan bereit",28&lt;=Ziele!$B$5),ROUND(MAX(0,MIN(MAX(0,ROUND(Ziele!C13-E101,2)),IF(Ziele!E13="",MAX(0,ROUND(Ziele!C13-E101,2)),Ziele!E13),K33+B34-C34-SUM(E34:G34))),2),"")</f>
        <v>0</v>
      </c>
      <c r="I34" s="7" t="n">
        <f aca="false">IF(AND(Ziele!$B$18="Plan bereit",28&lt;=Ziele!$B$5),ROUND(MAX(0,MIN(MAX(0,ROUND(Ziele!C14-F101,2)),IF(Ziele!E14="",MAX(0,ROUND(Ziele!C14-F101,2)),Ziele!E14),K33+B34-C34-SUM(E34:H34))),2),"")</f>
        <v>0</v>
      </c>
      <c r="J34" s="7" t="n">
        <f aca="false">IF(AND(Ziele!$B$18="Plan bereit",28&lt;=Ziele!$B$5),ROUND(MAX(0,MIN(MAX(0,ROUND(Ziele!C15-G101,2)),IF(Ziele!E15="",MAX(0,ROUND(Ziele!C15-G101,2)),Ziele!E15),K33+B34-C34-SUM(E34:I34))),2),"")</f>
        <v>0</v>
      </c>
      <c r="K34" s="7" t="n">
        <f aca="false">IF(AND(Ziele!$B$18="Plan bereit",28&lt;=Ziele!$B$5),ROUND(K33+B34-C34-SUM(E34:J34),2),"")</f>
        <v>0</v>
      </c>
      <c r="L34" s="7" t="n">
        <f aca="false">IF(AND(Ziele!$B$18="Plan bereit",28&lt;=Ziele!$B$5),ROUND(Ziele!$B$4+SUM(B$7:B34)-SUM(C$7:C34)-H102-K34-Ziele!$B$21,2),"")</f>
        <v>0</v>
      </c>
    </row>
    <row r="35" customFormat="false" ht="22.5" hidden="false" customHeight="true" outlineLevel="0" collapsed="false">
      <c r="A35" s="6" t="n">
        <f aca="false">IF(AND(Ziele!$B$18="Plan bereit",29&lt;=Ziele!$B$5),29,"")</f>
        <v>29</v>
      </c>
      <c r="B35" s="7" t="n">
        <f aca="false">IF(AND(Ziele!$B$18="Plan bereit",29&lt;=Ziele!$B$5),Budgets!E38,"")</f>
        <v>500</v>
      </c>
      <c r="C35" s="7" t="n">
        <f aca="false">IF(AND(Ziele!$B$18="Plan bereit",29&lt;=Ziele!$B$5),ROUND(MIN(Budgets!F38,K34+B35),2),"")</f>
        <v>150</v>
      </c>
      <c r="D35" s="7" t="n">
        <f aca="false">IF(AND(Ziele!$B$18="Plan bereit",29&lt;=Ziele!$B$5),ROUND(Budgets!F38-C35,2),"")</f>
        <v>0</v>
      </c>
      <c r="E35" s="7" t="n">
        <f aca="false">IF(AND(Ziele!$B$18="Plan bereit",29&lt;=Ziele!$B$5),ROUND(MAX(0,MIN(MAX(0,ROUND(Ziele!C10-B102,2)),IF(Ziele!E10="",MAX(0,ROUND(Ziele!C10-B102,2)),Ziele!E10),K34+B35-C35-0)),2),"")</f>
        <v>0</v>
      </c>
      <c r="F35" s="7" t="n">
        <f aca="false">IF(AND(Ziele!$B$18="Plan bereit",29&lt;=Ziele!$B$5),ROUND(MAX(0,MIN(MAX(0,ROUND(Ziele!C11-C102,2)),IF(Ziele!E11="",MAX(0,ROUND(Ziele!C11-C102,2)),Ziele!E11),K34+B35-C35-SUM(E35:E35))),2),"")</f>
        <v>350</v>
      </c>
      <c r="G35" s="7" t="n">
        <f aca="false">IF(AND(Ziele!$B$18="Plan bereit",29&lt;=Ziele!$B$5),ROUND(MAX(0,MIN(MAX(0,ROUND(Ziele!C12-D102,2)),IF(Ziele!E12="",MAX(0,ROUND(Ziele!C12-D102,2)),Ziele!E12),K34+B35-C35-SUM(E35:F35))),2),"")</f>
        <v>0</v>
      </c>
      <c r="H35" s="7" t="n">
        <f aca="false">IF(AND(Ziele!$B$18="Plan bereit",29&lt;=Ziele!$B$5),ROUND(MAX(0,MIN(MAX(0,ROUND(Ziele!C13-E102,2)),IF(Ziele!E13="",MAX(0,ROUND(Ziele!C13-E102,2)),Ziele!E13),K34+B35-C35-SUM(E35:G35))),2),"")</f>
        <v>0</v>
      </c>
      <c r="I35" s="7" t="n">
        <f aca="false">IF(AND(Ziele!$B$18="Plan bereit",29&lt;=Ziele!$B$5),ROUND(MAX(0,MIN(MAX(0,ROUND(Ziele!C14-F102,2)),IF(Ziele!E14="",MAX(0,ROUND(Ziele!C14-F102,2)),Ziele!E14),K34+B35-C35-SUM(E35:H35))),2),"")</f>
        <v>0</v>
      </c>
      <c r="J35" s="7" t="n">
        <f aca="false">IF(AND(Ziele!$B$18="Plan bereit",29&lt;=Ziele!$B$5),ROUND(MAX(0,MIN(MAX(0,ROUND(Ziele!C15-G102,2)),IF(Ziele!E15="",MAX(0,ROUND(Ziele!C15-G102,2)),Ziele!E15),K34+B35-C35-SUM(E35:I35))),2),"")</f>
        <v>0</v>
      </c>
      <c r="K35" s="7" t="n">
        <f aca="false">IF(AND(Ziele!$B$18="Plan bereit",29&lt;=Ziele!$B$5),ROUND(K34+B35-C35-SUM(E35:J35),2),"")</f>
        <v>0</v>
      </c>
      <c r="L35" s="7" t="n">
        <f aca="false">IF(AND(Ziele!$B$18="Plan bereit",29&lt;=Ziele!$B$5),ROUND(Ziele!$B$4+SUM(B$7:B35)-SUM(C$7:C35)-H103-K35-Ziele!$B$21,2),"")</f>
        <v>0</v>
      </c>
    </row>
    <row r="36" customFormat="false" ht="22.5" hidden="false" customHeight="true" outlineLevel="0" collapsed="false">
      <c r="A36" s="6" t="n">
        <f aca="false">IF(AND(Ziele!$B$18="Plan bereit",30&lt;=Ziele!$B$5),30,"")</f>
        <v>30</v>
      </c>
      <c r="B36" s="7" t="n">
        <f aca="false">IF(AND(Ziele!$B$18="Plan bereit",30&lt;=Ziele!$B$5),Budgets!E39,"")</f>
        <v>500</v>
      </c>
      <c r="C36" s="7" t="n">
        <f aca="false">IF(AND(Ziele!$B$18="Plan bereit",30&lt;=Ziele!$B$5),ROUND(MIN(Budgets!F39,K35+B36),2),"")</f>
        <v>150</v>
      </c>
      <c r="D36" s="7" t="n">
        <f aca="false">IF(AND(Ziele!$B$18="Plan bereit",30&lt;=Ziele!$B$5),ROUND(Budgets!F39-C36,2),"")</f>
        <v>0</v>
      </c>
      <c r="E36" s="7" t="n">
        <f aca="false">IF(AND(Ziele!$B$18="Plan bereit",30&lt;=Ziele!$B$5),ROUND(MAX(0,MIN(MAX(0,ROUND(Ziele!C10-B103,2)),IF(Ziele!E10="",MAX(0,ROUND(Ziele!C10-B103,2)),Ziele!E10),K35+B36-C36-0)),2),"")</f>
        <v>0</v>
      </c>
      <c r="F36" s="7" t="n">
        <f aca="false">IF(AND(Ziele!$B$18="Plan bereit",30&lt;=Ziele!$B$5),ROUND(MAX(0,MIN(MAX(0,ROUND(Ziele!C11-C103,2)),IF(Ziele!E11="",MAX(0,ROUND(Ziele!C11-C103,2)),Ziele!E11),K35+B36-C36-SUM(E36:E36))),2),"")</f>
        <v>350</v>
      </c>
      <c r="G36" s="7" t="n">
        <f aca="false">IF(AND(Ziele!$B$18="Plan bereit",30&lt;=Ziele!$B$5),ROUND(MAX(0,MIN(MAX(0,ROUND(Ziele!C12-D103,2)),IF(Ziele!E12="",MAX(0,ROUND(Ziele!C12-D103,2)),Ziele!E12),K35+B36-C36-SUM(E36:F36))),2),"")</f>
        <v>0</v>
      </c>
      <c r="H36" s="7" t="n">
        <f aca="false">IF(AND(Ziele!$B$18="Plan bereit",30&lt;=Ziele!$B$5),ROUND(MAX(0,MIN(MAX(0,ROUND(Ziele!C13-E103,2)),IF(Ziele!E13="",MAX(0,ROUND(Ziele!C13-E103,2)),Ziele!E13),K35+B36-C36-SUM(E36:G36))),2),"")</f>
        <v>0</v>
      </c>
      <c r="I36" s="7" t="n">
        <f aca="false">IF(AND(Ziele!$B$18="Plan bereit",30&lt;=Ziele!$B$5),ROUND(MAX(0,MIN(MAX(0,ROUND(Ziele!C14-F103,2)),IF(Ziele!E14="",MAX(0,ROUND(Ziele!C14-F103,2)),Ziele!E14),K35+B36-C36-SUM(E36:H36))),2),"")</f>
        <v>0</v>
      </c>
      <c r="J36" s="7" t="n">
        <f aca="false">IF(AND(Ziele!$B$18="Plan bereit",30&lt;=Ziele!$B$5),ROUND(MAX(0,MIN(MAX(0,ROUND(Ziele!C15-G103,2)),IF(Ziele!E15="",MAX(0,ROUND(Ziele!C15-G103,2)),Ziele!E15),K35+B36-C36-SUM(E36:I36))),2),"")</f>
        <v>0</v>
      </c>
      <c r="K36" s="7" t="n">
        <f aca="false">IF(AND(Ziele!$B$18="Plan bereit",30&lt;=Ziele!$B$5),ROUND(K35+B36-C36-SUM(E36:J36),2),"")</f>
        <v>0</v>
      </c>
      <c r="L36" s="7" t="n">
        <f aca="false">IF(AND(Ziele!$B$18="Plan bereit",30&lt;=Ziele!$B$5),ROUND(Ziele!$B$4+SUM(B$7:B36)-SUM(C$7:C36)-H104-K36-Ziele!$B$21,2),"")</f>
        <v>0</v>
      </c>
    </row>
    <row r="37" customFormat="false" ht="22.5" hidden="false" customHeight="true" outlineLevel="0" collapsed="false">
      <c r="A37" s="6" t="n">
        <f aca="false">IF(AND(Ziele!$B$18="Plan bereit",31&lt;=Ziele!$B$5),31,"")</f>
        <v>31</v>
      </c>
      <c r="B37" s="7" t="n">
        <f aca="false">IF(AND(Ziele!$B$18="Plan bereit",31&lt;=Ziele!$B$5),Budgets!E40,"")</f>
        <v>500</v>
      </c>
      <c r="C37" s="7" t="n">
        <f aca="false">IF(AND(Ziele!$B$18="Plan bereit",31&lt;=Ziele!$B$5),ROUND(MIN(Budgets!F40,K36+B37),2),"")</f>
        <v>150</v>
      </c>
      <c r="D37" s="7" t="n">
        <f aca="false">IF(AND(Ziele!$B$18="Plan bereit",31&lt;=Ziele!$B$5),ROUND(Budgets!F40-C37,2),"")</f>
        <v>0</v>
      </c>
      <c r="E37" s="7" t="n">
        <f aca="false">IF(AND(Ziele!$B$18="Plan bereit",31&lt;=Ziele!$B$5),ROUND(MAX(0,MIN(MAX(0,ROUND(Ziele!C10-B104,2)),IF(Ziele!E10="",MAX(0,ROUND(Ziele!C10-B104,2)),Ziele!E10),K36+B37-C37-0)),2),"")</f>
        <v>0</v>
      </c>
      <c r="F37" s="7" t="n">
        <f aca="false">IF(AND(Ziele!$B$18="Plan bereit",31&lt;=Ziele!$B$5),ROUND(MAX(0,MIN(MAX(0,ROUND(Ziele!C11-C104,2)),IF(Ziele!E11="",MAX(0,ROUND(Ziele!C11-C104,2)),Ziele!E11),K36+B37-C37-SUM(E37:E37))),2),"")</f>
        <v>350</v>
      </c>
      <c r="G37" s="7" t="n">
        <f aca="false">IF(AND(Ziele!$B$18="Plan bereit",31&lt;=Ziele!$B$5),ROUND(MAX(0,MIN(MAX(0,ROUND(Ziele!C12-D104,2)),IF(Ziele!E12="",MAX(0,ROUND(Ziele!C12-D104,2)),Ziele!E12),K36+B37-C37-SUM(E37:F37))),2),"")</f>
        <v>0</v>
      </c>
      <c r="H37" s="7" t="n">
        <f aca="false">IF(AND(Ziele!$B$18="Plan bereit",31&lt;=Ziele!$B$5),ROUND(MAX(0,MIN(MAX(0,ROUND(Ziele!C13-E104,2)),IF(Ziele!E13="",MAX(0,ROUND(Ziele!C13-E104,2)),Ziele!E13),K36+B37-C37-SUM(E37:G37))),2),"")</f>
        <v>0</v>
      </c>
      <c r="I37" s="7" t="n">
        <f aca="false">IF(AND(Ziele!$B$18="Plan bereit",31&lt;=Ziele!$B$5),ROUND(MAX(0,MIN(MAX(0,ROUND(Ziele!C14-F104,2)),IF(Ziele!E14="",MAX(0,ROUND(Ziele!C14-F104,2)),Ziele!E14),K36+B37-C37-SUM(E37:H37))),2),"")</f>
        <v>0</v>
      </c>
      <c r="J37" s="7" t="n">
        <f aca="false">IF(AND(Ziele!$B$18="Plan bereit",31&lt;=Ziele!$B$5),ROUND(MAX(0,MIN(MAX(0,ROUND(Ziele!C15-G104,2)),IF(Ziele!E15="",MAX(0,ROUND(Ziele!C15-G104,2)),Ziele!E15),K36+B37-C37-SUM(E37:I37))),2),"")</f>
        <v>0</v>
      </c>
      <c r="K37" s="7" t="n">
        <f aca="false">IF(AND(Ziele!$B$18="Plan bereit",31&lt;=Ziele!$B$5),ROUND(K36+B37-C37-SUM(E37:J37),2),"")</f>
        <v>0</v>
      </c>
      <c r="L37" s="7" t="n">
        <f aca="false">IF(AND(Ziele!$B$18="Plan bereit",31&lt;=Ziele!$B$5),ROUND(Ziele!$B$4+SUM(B$7:B37)-SUM(C$7:C37)-H105-K37-Ziele!$B$21,2),"")</f>
        <v>0</v>
      </c>
    </row>
    <row r="38" customFormat="false" ht="22.5" hidden="false" customHeight="true" outlineLevel="0" collapsed="false">
      <c r="A38" s="6" t="n">
        <f aca="false">IF(AND(Ziele!$B$18="Plan bereit",32&lt;=Ziele!$B$5),32,"")</f>
        <v>32</v>
      </c>
      <c r="B38" s="7" t="n">
        <f aca="false">IF(AND(Ziele!$B$18="Plan bereit",32&lt;=Ziele!$B$5),Budgets!E41,"")</f>
        <v>500</v>
      </c>
      <c r="C38" s="7" t="n">
        <f aca="false">IF(AND(Ziele!$B$18="Plan bereit",32&lt;=Ziele!$B$5),ROUND(MIN(Budgets!F41,K37+B38),2),"")</f>
        <v>150</v>
      </c>
      <c r="D38" s="7" t="n">
        <f aca="false">IF(AND(Ziele!$B$18="Plan bereit",32&lt;=Ziele!$B$5),ROUND(Budgets!F41-C38,2),"")</f>
        <v>0</v>
      </c>
      <c r="E38" s="7" t="n">
        <f aca="false">IF(AND(Ziele!$B$18="Plan bereit",32&lt;=Ziele!$B$5),ROUND(MAX(0,MIN(MAX(0,ROUND(Ziele!C10-B105,2)),IF(Ziele!E10="",MAX(0,ROUND(Ziele!C10-B105,2)),Ziele!E10),K37+B38-C38-0)),2),"")</f>
        <v>0</v>
      </c>
      <c r="F38" s="7" t="n">
        <f aca="false">IF(AND(Ziele!$B$18="Plan bereit",32&lt;=Ziele!$B$5),ROUND(MAX(0,MIN(MAX(0,ROUND(Ziele!C11-C105,2)),IF(Ziele!E11="",MAX(0,ROUND(Ziele!C11-C105,2)),Ziele!E11),K37+B38-C38-SUM(E38:E38))),2),"")</f>
        <v>350</v>
      </c>
      <c r="G38" s="7" t="n">
        <f aca="false">IF(AND(Ziele!$B$18="Plan bereit",32&lt;=Ziele!$B$5),ROUND(MAX(0,MIN(MAX(0,ROUND(Ziele!C12-D105,2)),IF(Ziele!E12="",MAX(0,ROUND(Ziele!C12-D105,2)),Ziele!E12),K37+B38-C38-SUM(E38:F38))),2),"")</f>
        <v>0</v>
      </c>
      <c r="H38" s="7" t="n">
        <f aca="false">IF(AND(Ziele!$B$18="Plan bereit",32&lt;=Ziele!$B$5),ROUND(MAX(0,MIN(MAX(0,ROUND(Ziele!C13-E105,2)),IF(Ziele!E13="",MAX(0,ROUND(Ziele!C13-E105,2)),Ziele!E13),K37+B38-C38-SUM(E38:G38))),2),"")</f>
        <v>0</v>
      </c>
      <c r="I38" s="7" t="n">
        <f aca="false">IF(AND(Ziele!$B$18="Plan bereit",32&lt;=Ziele!$B$5),ROUND(MAX(0,MIN(MAX(0,ROUND(Ziele!C14-F105,2)),IF(Ziele!E14="",MAX(0,ROUND(Ziele!C14-F105,2)),Ziele!E14),K37+B38-C38-SUM(E38:H38))),2),"")</f>
        <v>0</v>
      </c>
      <c r="J38" s="7" t="n">
        <f aca="false">IF(AND(Ziele!$B$18="Plan bereit",32&lt;=Ziele!$B$5),ROUND(MAX(0,MIN(MAX(0,ROUND(Ziele!C15-G105,2)),IF(Ziele!E15="",MAX(0,ROUND(Ziele!C15-G105,2)),Ziele!E15),K37+B38-C38-SUM(E38:I38))),2),"")</f>
        <v>0</v>
      </c>
      <c r="K38" s="7" t="n">
        <f aca="false">IF(AND(Ziele!$B$18="Plan bereit",32&lt;=Ziele!$B$5),ROUND(K37+B38-C38-SUM(E38:J38),2),"")</f>
        <v>0</v>
      </c>
      <c r="L38" s="7" t="n">
        <f aca="false">IF(AND(Ziele!$B$18="Plan bereit",32&lt;=Ziele!$B$5),ROUND(Ziele!$B$4+SUM(B$7:B38)-SUM(C$7:C38)-H106-K38-Ziele!$B$21,2),"")</f>
        <v>0</v>
      </c>
    </row>
    <row r="39" customFormat="false" ht="22.5" hidden="false" customHeight="true" outlineLevel="0" collapsed="false">
      <c r="A39" s="6" t="n">
        <f aca="false">IF(AND(Ziele!$B$18="Plan bereit",33&lt;=Ziele!$B$5),33,"")</f>
        <v>33</v>
      </c>
      <c r="B39" s="7" t="n">
        <f aca="false">IF(AND(Ziele!$B$18="Plan bereit",33&lt;=Ziele!$B$5),Budgets!E42,"")</f>
        <v>500</v>
      </c>
      <c r="C39" s="7" t="n">
        <f aca="false">IF(AND(Ziele!$B$18="Plan bereit",33&lt;=Ziele!$B$5),ROUND(MIN(Budgets!F42,K38+B39),2),"")</f>
        <v>150</v>
      </c>
      <c r="D39" s="7" t="n">
        <f aca="false">IF(AND(Ziele!$B$18="Plan bereit",33&lt;=Ziele!$B$5),ROUND(Budgets!F42-C39,2),"")</f>
        <v>0</v>
      </c>
      <c r="E39" s="7" t="n">
        <f aca="false">IF(AND(Ziele!$B$18="Plan bereit",33&lt;=Ziele!$B$5),ROUND(MAX(0,MIN(MAX(0,ROUND(Ziele!C10-B106,2)),IF(Ziele!E10="",MAX(0,ROUND(Ziele!C10-B106,2)),Ziele!E10),K38+B39-C39-0)),2),"")</f>
        <v>0</v>
      </c>
      <c r="F39" s="7" t="n">
        <f aca="false">IF(AND(Ziele!$B$18="Plan bereit",33&lt;=Ziele!$B$5),ROUND(MAX(0,MIN(MAX(0,ROUND(Ziele!C11-C106,2)),IF(Ziele!E11="",MAX(0,ROUND(Ziele!C11-C106,2)),Ziele!E11),K38+B39-C39-SUM(E39:E39))),2),"")</f>
        <v>350</v>
      </c>
      <c r="G39" s="7" t="n">
        <f aca="false">IF(AND(Ziele!$B$18="Plan bereit",33&lt;=Ziele!$B$5),ROUND(MAX(0,MIN(MAX(0,ROUND(Ziele!C12-D106,2)),IF(Ziele!E12="",MAX(0,ROUND(Ziele!C12-D106,2)),Ziele!E12),K38+B39-C39-SUM(E39:F39))),2),"")</f>
        <v>0</v>
      </c>
      <c r="H39" s="7" t="n">
        <f aca="false">IF(AND(Ziele!$B$18="Plan bereit",33&lt;=Ziele!$B$5),ROUND(MAX(0,MIN(MAX(0,ROUND(Ziele!C13-E106,2)),IF(Ziele!E13="",MAX(0,ROUND(Ziele!C13-E106,2)),Ziele!E13),K38+B39-C39-SUM(E39:G39))),2),"")</f>
        <v>0</v>
      </c>
      <c r="I39" s="7" t="n">
        <f aca="false">IF(AND(Ziele!$B$18="Plan bereit",33&lt;=Ziele!$B$5),ROUND(MAX(0,MIN(MAX(0,ROUND(Ziele!C14-F106,2)),IF(Ziele!E14="",MAX(0,ROUND(Ziele!C14-F106,2)),Ziele!E14),K38+B39-C39-SUM(E39:H39))),2),"")</f>
        <v>0</v>
      </c>
      <c r="J39" s="7" t="n">
        <f aca="false">IF(AND(Ziele!$B$18="Plan bereit",33&lt;=Ziele!$B$5),ROUND(MAX(0,MIN(MAX(0,ROUND(Ziele!C15-G106,2)),IF(Ziele!E15="",MAX(0,ROUND(Ziele!C15-G106,2)),Ziele!E15),K38+B39-C39-SUM(E39:I39))),2),"")</f>
        <v>0</v>
      </c>
      <c r="K39" s="7" t="n">
        <f aca="false">IF(AND(Ziele!$B$18="Plan bereit",33&lt;=Ziele!$B$5),ROUND(K38+B39-C39-SUM(E39:J39),2),"")</f>
        <v>0</v>
      </c>
      <c r="L39" s="7" t="n">
        <f aca="false">IF(AND(Ziele!$B$18="Plan bereit",33&lt;=Ziele!$B$5),ROUND(Ziele!$B$4+SUM(B$7:B39)-SUM(C$7:C39)-H107-K39-Ziele!$B$21,2),"")</f>
        <v>0</v>
      </c>
    </row>
    <row r="40" customFormat="false" ht="22.5" hidden="false" customHeight="true" outlineLevel="0" collapsed="false">
      <c r="A40" s="6" t="n">
        <f aca="false">IF(AND(Ziele!$B$18="Plan bereit",34&lt;=Ziele!$B$5),34,"")</f>
        <v>34</v>
      </c>
      <c r="B40" s="7" t="n">
        <f aca="false">IF(AND(Ziele!$B$18="Plan bereit",34&lt;=Ziele!$B$5),Budgets!E43,"")</f>
        <v>500</v>
      </c>
      <c r="C40" s="7" t="n">
        <f aca="false">IF(AND(Ziele!$B$18="Plan bereit",34&lt;=Ziele!$B$5),ROUND(MIN(Budgets!F43,K39+B40),2),"")</f>
        <v>150</v>
      </c>
      <c r="D40" s="7" t="n">
        <f aca="false">IF(AND(Ziele!$B$18="Plan bereit",34&lt;=Ziele!$B$5),ROUND(Budgets!F43-C40,2),"")</f>
        <v>0</v>
      </c>
      <c r="E40" s="7" t="n">
        <f aca="false">IF(AND(Ziele!$B$18="Plan bereit",34&lt;=Ziele!$B$5),ROUND(MAX(0,MIN(MAX(0,ROUND(Ziele!C10-B107,2)),IF(Ziele!E10="",MAX(0,ROUND(Ziele!C10-B107,2)),Ziele!E10),K39+B40-C40-0)),2),"")</f>
        <v>0</v>
      </c>
      <c r="F40" s="7" t="n">
        <f aca="false">IF(AND(Ziele!$B$18="Plan bereit",34&lt;=Ziele!$B$5),ROUND(MAX(0,MIN(MAX(0,ROUND(Ziele!C11-C107,2)),IF(Ziele!E11="",MAX(0,ROUND(Ziele!C11-C107,2)),Ziele!E11),K39+B40-C40-SUM(E40:E40))),2),"")</f>
        <v>350</v>
      </c>
      <c r="G40" s="7" t="n">
        <f aca="false">IF(AND(Ziele!$B$18="Plan bereit",34&lt;=Ziele!$B$5),ROUND(MAX(0,MIN(MAX(0,ROUND(Ziele!C12-D107,2)),IF(Ziele!E12="",MAX(0,ROUND(Ziele!C12-D107,2)),Ziele!E12),K39+B40-C40-SUM(E40:F40))),2),"")</f>
        <v>0</v>
      </c>
      <c r="H40" s="7" t="n">
        <f aca="false">IF(AND(Ziele!$B$18="Plan bereit",34&lt;=Ziele!$B$5),ROUND(MAX(0,MIN(MAX(0,ROUND(Ziele!C13-E107,2)),IF(Ziele!E13="",MAX(0,ROUND(Ziele!C13-E107,2)),Ziele!E13),K39+B40-C40-SUM(E40:G40))),2),"")</f>
        <v>0</v>
      </c>
      <c r="I40" s="7" t="n">
        <f aca="false">IF(AND(Ziele!$B$18="Plan bereit",34&lt;=Ziele!$B$5),ROUND(MAX(0,MIN(MAX(0,ROUND(Ziele!C14-F107,2)),IF(Ziele!E14="",MAX(0,ROUND(Ziele!C14-F107,2)),Ziele!E14),K39+B40-C40-SUM(E40:H40))),2),"")</f>
        <v>0</v>
      </c>
      <c r="J40" s="7" t="n">
        <f aca="false">IF(AND(Ziele!$B$18="Plan bereit",34&lt;=Ziele!$B$5),ROUND(MAX(0,MIN(MAX(0,ROUND(Ziele!C15-G107,2)),IF(Ziele!E15="",MAX(0,ROUND(Ziele!C15-G107,2)),Ziele!E15),K39+B40-C40-SUM(E40:I40))),2),"")</f>
        <v>0</v>
      </c>
      <c r="K40" s="7" t="n">
        <f aca="false">IF(AND(Ziele!$B$18="Plan bereit",34&lt;=Ziele!$B$5),ROUND(K39+B40-C40-SUM(E40:J40),2),"")</f>
        <v>0</v>
      </c>
      <c r="L40" s="7" t="n">
        <f aca="false">IF(AND(Ziele!$B$18="Plan bereit",34&lt;=Ziele!$B$5),ROUND(Ziele!$B$4+SUM(B$7:B40)-SUM(C$7:C40)-H108-K40-Ziele!$B$21,2),"")</f>
        <v>0</v>
      </c>
    </row>
    <row r="41" customFormat="false" ht="22.5" hidden="false" customHeight="true" outlineLevel="0" collapsed="false">
      <c r="A41" s="6" t="n">
        <f aca="false">IF(AND(Ziele!$B$18="Plan bereit",35&lt;=Ziele!$B$5),35,"")</f>
        <v>35</v>
      </c>
      <c r="B41" s="7" t="n">
        <f aca="false">IF(AND(Ziele!$B$18="Plan bereit",35&lt;=Ziele!$B$5),Budgets!E44,"")</f>
        <v>500</v>
      </c>
      <c r="C41" s="7" t="n">
        <f aca="false">IF(AND(Ziele!$B$18="Plan bereit",35&lt;=Ziele!$B$5),ROUND(MIN(Budgets!F44,K40+B41),2),"")</f>
        <v>150</v>
      </c>
      <c r="D41" s="7" t="n">
        <f aca="false">IF(AND(Ziele!$B$18="Plan bereit",35&lt;=Ziele!$B$5),ROUND(Budgets!F44-C41,2),"")</f>
        <v>0</v>
      </c>
      <c r="E41" s="7" t="n">
        <f aca="false">IF(AND(Ziele!$B$18="Plan bereit",35&lt;=Ziele!$B$5),ROUND(MAX(0,MIN(MAX(0,ROUND(Ziele!C10-B108,2)),IF(Ziele!E10="",MAX(0,ROUND(Ziele!C10-B108,2)),Ziele!E10),K40+B41-C41-0)),2),"")</f>
        <v>0</v>
      </c>
      <c r="F41" s="7" t="n">
        <f aca="false">IF(AND(Ziele!$B$18="Plan bereit",35&lt;=Ziele!$B$5),ROUND(MAX(0,MIN(MAX(0,ROUND(Ziele!C11-C108,2)),IF(Ziele!E11="",MAX(0,ROUND(Ziele!C11-C108,2)),Ziele!E11),K40+B41-C41-SUM(E41:E41))),2),"")</f>
        <v>350</v>
      </c>
      <c r="G41" s="7" t="n">
        <f aca="false">IF(AND(Ziele!$B$18="Plan bereit",35&lt;=Ziele!$B$5),ROUND(MAX(0,MIN(MAX(0,ROUND(Ziele!C12-D108,2)),IF(Ziele!E12="",MAX(0,ROUND(Ziele!C12-D108,2)),Ziele!E12),K40+B41-C41-SUM(E41:F41))),2),"")</f>
        <v>0</v>
      </c>
      <c r="H41" s="7" t="n">
        <f aca="false">IF(AND(Ziele!$B$18="Plan bereit",35&lt;=Ziele!$B$5),ROUND(MAX(0,MIN(MAX(0,ROUND(Ziele!C13-E108,2)),IF(Ziele!E13="",MAX(0,ROUND(Ziele!C13-E108,2)),Ziele!E13),K40+B41-C41-SUM(E41:G41))),2),"")</f>
        <v>0</v>
      </c>
      <c r="I41" s="7" t="n">
        <f aca="false">IF(AND(Ziele!$B$18="Plan bereit",35&lt;=Ziele!$B$5),ROUND(MAX(0,MIN(MAX(0,ROUND(Ziele!C14-F108,2)),IF(Ziele!E14="",MAX(0,ROUND(Ziele!C14-F108,2)),Ziele!E14),K40+B41-C41-SUM(E41:H41))),2),"")</f>
        <v>0</v>
      </c>
      <c r="J41" s="7" t="n">
        <f aca="false">IF(AND(Ziele!$B$18="Plan bereit",35&lt;=Ziele!$B$5),ROUND(MAX(0,MIN(MAX(0,ROUND(Ziele!C15-G108,2)),IF(Ziele!E15="",MAX(0,ROUND(Ziele!C15-G108,2)),Ziele!E15),K40+B41-C41-SUM(E41:I41))),2),"")</f>
        <v>0</v>
      </c>
      <c r="K41" s="7" t="n">
        <f aca="false">IF(AND(Ziele!$B$18="Plan bereit",35&lt;=Ziele!$B$5),ROUND(K40+B41-C41-SUM(E41:J41),2),"")</f>
        <v>0</v>
      </c>
      <c r="L41" s="7" t="n">
        <f aca="false">IF(AND(Ziele!$B$18="Plan bereit",35&lt;=Ziele!$B$5),ROUND(Ziele!$B$4+SUM(B$7:B41)-SUM(C$7:C41)-H109-K41-Ziele!$B$21,2),"")</f>
        <v>0</v>
      </c>
    </row>
    <row r="42" customFormat="false" ht="22.5" hidden="false" customHeight="true" outlineLevel="0" collapsed="false">
      <c r="A42" s="6" t="n">
        <f aca="false">IF(AND(Ziele!$B$18="Plan bereit",36&lt;=Ziele!$B$5),36,"")</f>
        <v>36</v>
      </c>
      <c r="B42" s="7" t="n">
        <f aca="false">IF(AND(Ziele!$B$18="Plan bereit",36&lt;=Ziele!$B$5),Budgets!E45,"")</f>
        <v>500</v>
      </c>
      <c r="C42" s="7" t="n">
        <f aca="false">IF(AND(Ziele!$B$18="Plan bereit",36&lt;=Ziele!$B$5),ROUND(MIN(Budgets!F45,K41+B42),2),"")</f>
        <v>150</v>
      </c>
      <c r="D42" s="7" t="n">
        <f aca="false">IF(AND(Ziele!$B$18="Plan bereit",36&lt;=Ziele!$B$5),ROUND(Budgets!F45-C42,2),"")</f>
        <v>0</v>
      </c>
      <c r="E42" s="7" t="n">
        <f aca="false">IF(AND(Ziele!$B$18="Plan bereit",36&lt;=Ziele!$B$5),ROUND(MAX(0,MIN(MAX(0,ROUND(Ziele!C10-B109,2)),IF(Ziele!E10="",MAX(0,ROUND(Ziele!C10-B109,2)),Ziele!E10),K41+B42-C42-0)),2),"")</f>
        <v>0</v>
      </c>
      <c r="F42" s="7" t="n">
        <f aca="false">IF(AND(Ziele!$B$18="Plan bereit",36&lt;=Ziele!$B$5),ROUND(MAX(0,MIN(MAX(0,ROUND(Ziele!C11-C109,2)),IF(Ziele!E11="",MAX(0,ROUND(Ziele!C11-C109,2)),Ziele!E11),K41+B42-C42-SUM(E42:E42))),2),"")</f>
        <v>350</v>
      </c>
      <c r="G42" s="7" t="n">
        <f aca="false">IF(AND(Ziele!$B$18="Plan bereit",36&lt;=Ziele!$B$5),ROUND(MAX(0,MIN(MAX(0,ROUND(Ziele!C12-D109,2)),IF(Ziele!E12="",MAX(0,ROUND(Ziele!C12-D109,2)),Ziele!E12),K41+B42-C42-SUM(E42:F42))),2),"")</f>
        <v>0</v>
      </c>
      <c r="H42" s="7" t="n">
        <f aca="false">IF(AND(Ziele!$B$18="Plan bereit",36&lt;=Ziele!$B$5),ROUND(MAX(0,MIN(MAX(0,ROUND(Ziele!C13-E109,2)),IF(Ziele!E13="",MAX(0,ROUND(Ziele!C13-E109,2)),Ziele!E13),K41+B42-C42-SUM(E42:G42))),2),"")</f>
        <v>0</v>
      </c>
      <c r="I42" s="7" t="n">
        <f aca="false">IF(AND(Ziele!$B$18="Plan bereit",36&lt;=Ziele!$B$5),ROUND(MAX(0,MIN(MAX(0,ROUND(Ziele!C14-F109,2)),IF(Ziele!E14="",MAX(0,ROUND(Ziele!C14-F109,2)),Ziele!E14),K41+B42-C42-SUM(E42:H42))),2),"")</f>
        <v>0</v>
      </c>
      <c r="J42" s="7" t="n">
        <f aca="false">IF(AND(Ziele!$B$18="Plan bereit",36&lt;=Ziele!$B$5),ROUND(MAX(0,MIN(MAX(0,ROUND(Ziele!C15-G109,2)),IF(Ziele!E15="",MAX(0,ROUND(Ziele!C15-G109,2)),Ziele!E15),K41+B42-C42-SUM(E42:I42))),2),"")</f>
        <v>0</v>
      </c>
      <c r="K42" s="7" t="n">
        <f aca="false">IF(AND(Ziele!$B$18="Plan bereit",36&lt;=Ziele!$B$5),ROUND(K41+B42-C42-SUM(E42:J42),2),"")</f>
        <v>0</v>
      </c>
      <c r="L42" s="7" t="n">
        <f aca="false">IF(AND(Ziele!$B$18="Plan bereit",36&lt;=Ziele!$B$5),ROUND(Ziele!$B$4+SUM(B$7:B42)-SUM(C$7:C42)-H110-K42-Ziele!$B$21,2),"")</f>
        <v>0</v>
      </c>
    </row>
    <row r="43" customFormat="false" ht="22.5" hidden="false" customHeight="true" outlineLevel="0" collapsed="false">
      <c r="A43" s="6" t="n">
        <f aca="false">IF(AND(Ziele!$B$18="Plan bereit",37&lt;=Ziele!$B$5),37,"")</f>
        <v>37</v>
      </c>
      <c r="B43" s="7" t="n">
        <f aca="false">IF(AND(Ziele!$B$18="Plan bereit",37&lt;=Ziele!$B$5),Budgets!E46,"")</f>
        <v>500</v>
      </c>
      <c r="C43" s="7" t="n">
        <f aca="false">IF(AND(Ziele!$B$18="Plan bereit",37&lt;=Ziele!$B$5),ROUND(MIN(Budgets!F46,K42+B43),2),"")</f>
        <v>150</v>
      </c>
      <c r="D43" s="7" t="n">
        <f aca="false">IF(AND(Ziele!$B$18="Plan bereit",37&lt;=Ziele!$B$5),ROUND(Budgets!F46-C43,2),"")</f>
        <v>0</v>
      </c>
      <c r="E43" s="7" t="n">
        <f aca="false">IF(AND(Ziele!$B$18="Plan bereit",37&lt;=Ziele!$B$5),ROUND(MAX(0,MIN(MAX(0,ROUND(Ziele!C10-B110,2)),IF(Ziele!E10="",MAX(0,ROUND(Ziele!C10-B110,2)),Ziele!E10),K42+B43-C43-0)),2),"")</f>
        <v>0</v>
      </c>
      <c r="F43" s="7" t="n">
        <f aca="false">IF(AND(Ziele!$B$18="Plan bereit",37&lt;=Ziele!$B$5),ROUND(MAX(0,MIN(MAX(0,ROUND(Ziele!C11-C110,2)),IF(Ziele!E11="",MAX(0,ROUND(Ziele!C11-C110,2)),Ziele!E11),K42+B43-C43-SUM(E43:E43))),2),"")</f>
        <v>350</v>
      </c>
      <c r="G43" s="7" t="n">
        <f aca="false">IF(AND(Ziele!$B$18="Plan bereit",37&lt;=Ziele!$B$5),ROUND(MAX(0,MIN(MAX(0,ROUND(Ziele!C12-D110,2)),IF(Ziele!E12="",MAX(0,ROUND(Ziele!C12-D110,2)),Ziele!E12),K42+B43-C43-SUM(E43:F43))),2),"")</f>
        <v>0</v>
      </c>
      <c r="H43" s="7" t="n">
        <f aca="false">IF(AND(Ziele!$B$18="Plan bereit",37&lt;=Ziele!$B$5),ROUND(MAX(0,MIN(MAX(0,ROUND(Ziele!C13-E110,2)),IF(Ziele!E13="",MAX(0,ROUND(Ziele!C13-E110,2)),Ziele!E13),K42+B43-C43-SUM(E43:G43))),2),"")</f>
        <v>0</v>
      </c>
      <c r="I43" s="7" t="n">
        <f aca="false">IF(AND(Ziele!$B$18="Plan bereit",37&lt;=Ziele!$B$5),ROUND(MAX(0,MIN(MAX(0,ROUND(Ziele!C14-F110,2)),IF(Ziele!E14="",MAX(0,ROUND(Ziele!C14-F110,2)),Ziele!E14),K42+B43-C43-SUM(E43:H43))),2),"")</f>
        <v>0</v>
      </c>
      <c r="J43" s="7" t="n">
        <f aca="false">IF(AND(Ziele!$B$18="Plan bereit",37&lt;=Ziele!$B$5),ROUND(MAX(0,MIN(MAX(0,ROUND(Ziele!C15-G110,2)),IF(Ziele!E15="",MAX(0,ROUND(Ziele!C15-G110,2)),Ziele!E15),K42+B43-C43-SUM(E43:I43))),2),"")</f>
        <v>0</v>
      </c>
      <c r="K43" s="7" t="n">
        <f aca="false">IF(AND(Ziele!$B$18="Plan bereit",37&lt;=Ziele!$B$5),ROUND(K42+B43-C43-SUM(E43:J43),2),"")</f>
        <v>0</v>
      </c>
      <c r="L43" s="7" t="n">
        <f aca="false">IF(AND(Ziele!$B$18="Plan bereit",37&lt;=Ziele!$B$5),ROUND(Ziele!$B$4+SUM(B$7:B43)-SUM(C$7:C43)-H111-K43-Ziele!$B$21,2),"")</f>
        <v>0</v>
      </c>
    </row>
    <row r="44" customFormat="false" ht="22.5" hidden="false" customHeight="true" outlineLevel="0" collapsed="false">
      <c r="A44" s="6" t="n">
        <f aca="false">IF(AND(Ziele!$B$18="Plan bereit",38&lt;=Ziele!$B$5),38,"")</f>
        <v>38</v>
      </c>
      <c r="B44" s="7" t="n">
        <f aca="false">IF(AND(Ziele!$B$18="Plan bereit",38&lt;=Ziele!$B$5),Budgets!E47,"")</f>
        <v>500</v>
      </c>
      <c r="C44" s="7" t="n">
        <f aca="false">IF(AND(Ziele!$B$18="Plan bereit",38&lt;=Ziele!$B$5),ROUND(MIN(Budgets!F47,K43+B44),2),"")</f>
        <v>150</v>
      </c>
      <c r="D44" s="7" t="n">
        <f aca="false">IF(AND(Ziele!$B$18="Plan bereit",38&lt;=Ziele!$B$5),ROUND(Budgets!F47-C44,2),"")</f>
        <v>0</v>
      </c>
      <c r="E44" s="7" t="n">
        <f aca="false">IF(AND(Ziele!$B$18="Plan bereit",38&lt;=Ziele!$B$5),ROUND(MAX(0,MIN(MAX(0,ROUND(Ziele!C10-B111,2)),IF(Ziele!E10="",MAX(0,ROUND(Ziele!C10-B111,2)),Ziele!E10),K43+B44-C44-0)),2),"")</f>
        <v>0</v>
      </c>
      <c r="F44" s="7" t="n">
        <f aca="false">IF(AND(Ziele!$B$18="Plan bereit",38&lt;=Ziele!$B$5),ROUND(MAX(0,MIN(MAX(0,ROUND(Ziele!C11-C111,2)),IF(Ziele!E11="",MAX(0,ROUND(Ziele!C11-C111,2)),Ziele!E11),K43+B44-C44-SUM(E44:E44))),2),"")</f>
        <v>350</v>
      </c>
      <c r="G44" s="7" t="n">
        <f aca="false">IF(AND(Ziele!$B$18="Plan bereit",38&lt;=Ziele!$B$5),ROUND(MAX(0,MIN(MAX(0,ROUND(Ziele!C12-D111,2)),IF(Ziele!E12="",MAX(0,ROUND(Ziele!C12-D111,2)),Ziele!E12),K43+B44-C44-SUM(E44:F44))),2),"")</f>
        <v>0</v>
      </c>
      <c r="H44" s="7" t="n">
        <f aca="false">IF(AND(Ziele!$B$18="Plan bereit",38&lt;=Ziele!$B$5),ROUND(MAX(0,MIN(MAX(0,ROUND(Ziele!C13-E111,2)),IF(Ziele!E13="",MAX(0,ROUND(Ziele!C13-E111,2)),Ziele!E13),K43+B44-C44-SUM(E44:G44))),2),"")</f>
        <v>0</v>
      </c>
      <c r="I44" s="7" t="n">
        <f aca="false">IF(AND(Ziele!$B$18="Plan bereit",38&lt;=Ziele!$B$5),ROUND(MAX(0,MIN(MAX(0,ROUND(Ziele!C14-F111,2)),IF(Ziele!E14="",MAX(0,ROUND(Ziele!C14-F111,2)),Ziele!E14),K43+B44-C44-SUM(E44:H44))),2),"")</f>
        <v>0</v>
      </c>
      <c r="J44" s="7" t="n">
        <f aca="false">IF(AND(Ziele!$B$18="Plan bereit",38&lt;=Ziele!$B$5),ROUND(MAX(0,MIN(MAX(0,ROUND(Ziele!C15-G111,2)),IF(Ziele!E15="",MAX(0,ROUND(Ziele!C15-G111,2)),Ziele!E15),K43+B44-C44-SUM(E44:I44))),2),"")</f>
        <v>0</v>
      </c>
      <c r="K44" s="7" t="n">
        <f aca="false">IF(AND(Ziele!$B$18="Plan bereit",38&lt;=Ziele!$B$5),ROUND(K43+B44-C44-SUM(E44:J44),2),"")</f>
        <v>0</v>
      </c>
      <c r="L44" s="7" t="n">
        <f aca="false">IF(AND(Ziele!$B$18="Plan bereit",38&lt;=Ziele!$B$5),ROUND(Ziele!$B$4+SUM(B$7:B44)-SUM(C$7:C44)-H112-K44-Ziele!$B$21,2),"")</f>
        <v>0</v>
      </c>
    </row>
    <row r="45" customFormat="false" ht="22.5" hidden="false" customHeight="true" outlineLevel="0" collapsed="false">
      <c r="A45" s="6" t="n">
        <f aca="false">IF(AND(Ziele!$B$18="Plan bereit",39&lt;=Ziele!$B$5),39,"")</f>
        <v>39</v>
      </c>
      <c r="B45" s="7" t="n">
        <f aca="false">IF(AND(Ziele!$B$18="Plan bereit",39&lt;=Ziele!$B$5),Budgets!E48,"")</f>
        <v>500</v>
      </c>
      <c r="C45" s="7" t="n">
        <f aca="false">IF(AND(Ziele!$B$18="Plan bereit",39&lt;=Ziele!$B$5),ROUND(MIN(Budgets!F48,K44+B45),2),"")</f>
        <v>150</v>
      </c>
      <c r="D45" s="7" t="n">
        <f aca="false">IF(AND(Ziele!$B$18="Plan bereit",39&lt;=Ziele!$B$5),ROUND(Budgets!F48-C45,2),"")</f>
        <v>0</v>
      </c>
      <c r="E45" s="7" t="n">
        <f aca="false">IF(AND(Ziele!$B$18="Plan bereit",39&lt;=Ziele!$B$5),ROUND(MAX(0,MIN(MAX(0,ROUND(Ziele!C10-B112,2)),IF(Ziele!E10="",MAX(0,ROUND(Ziele!C10-B112,2)),Ziele!E10),K44+B45-C45-0)),2),"")</f>
        <v>0</v>
      </c>
      <c r="F45" s="7" t="n">
        <f aca="false">IF(AND(Ziele!$B$18="Plan bereit",39&lt;=Ziele!$B$5),ROUND(MAX(0,MIN(MAX(0,ROUND(Ziele!C11-C112,2)),IF(Ziele!E11="",MAX(0,ROUND(Ziele!C11-C112,2)),Ziele!E11),K44+B45-C45-SUM(E45:E45))),2),"")</f>
        <v>350</v>
      </c>
      <c r="G45" s="7" t="n">
        <f aca="false">IF(AND(Ziele!$B$18="Plan bereit",39&lt;=Ziele!$B$5),ROUND(MAX(0,MIN(MAX(0,ROUND(Ziele!C12-D112,2)),IF(Ziele!E12="",MAX(0,ROUND(Ziele!C12-D112,2)),Ziele!E12),K44+B45-C45-SUM(E45:F45))),2),"")</f>
        <v>0</v>
      </c>
      <c r="H45" s="7" t="n">
        <f aca="false">IF(AND(Ziele!$B$18="Plan bereit",39&lt;=Ziele!$B$5),ROUND(MAX(0,MIN(MAX(0,ROUND(Ziele!C13-E112,2)),IF(Ziele!E13="",MAX(0,ROUND(Ziele!C13-E112,2)),Ziele!E13),K44+B45-C45-SUM(E45:G45))),2),"")</f>
        <v>0</v>
      </c>
      <c r="I45" s="7" t="n">
        <f aca="false">IF(AND(Ziele!$B$18="Plan bereit",39&lt;=Ziele!$B$5),ROUND(MAX(0,MIN(MAX(0,ROUND(Ziele!C14-F112,2)),IF(Ziele!E14="",MAX(0,ROUND(Ziele!C14-F112,2)),Ziele!E14),K44+B45-C45-SUM(E45:H45))),2),"")</f>
        <v>0</v>
      </c>
      <c r="J45" s="7" t="n">
        <f aca="false">IF(AND(Ziele!$B$18="Plan bereit",39&lt;=Ziele!$B$5),ROUND(MAX(0,MIN(MAX(0,ROUND(Ziele!C15-G112,2)),IF(Ziele!E15="",MAX(0,ROUND(Ziele!C15-G112,2)),Ziele!E15),K44+B45-C45-SUM(E45:I45))),2),"")</f>
        <v>0</v>
      </c>
      <c r="K45" s="7" t="n">
        <f aca="false">IF(AND(Ziele!$B$18="Plan bereit",39&lt;=Ziele!$B$5),ROUND(K44+B45-C45-SUM(E45:J45),2),"")</f>
        <v>0</v>
      </c>
      <c r="L45" s="7" t="n">
        <f aca="false">IF(AND(Ziele!$B$18="Plan bereit",39&lt;=Ziele!$B$5),ROUND(Ziele!$B$4+SUM(B$7:B45)-SUM(C$7:C45)-H113-K45-Ziele!$B$21,2),"")</f>
        <v>0</v>
      </c>
    </row>
    <row r="46" customFormat="false" ht="22.5" hidden="false" customHeight="true" outlineLevel="0" collapsed="false">
      <c r="A46" s="6" t="n">
        <f aca="false">IF(AND(Ziele!$B$18="Plan bereit",40&lt;=Ziele!$B$5),40,"")</f>
        <v>40</v>
      </c>
      <c r="B46" s="7" t="n">
        <f aca="false">IF(AND(Ziele!$B$18="Plan bereit",40&lt;=Ziele!$B$5),Budgets!E49,"")</f>
        <v>500</v>
      </c>
      <c r="C46" s="7" t="n">
        <f aca="false">IF(AND(Ziele!$B$18="Plan bereit",40&lt;=Ziele!$B$5),ROUND(MIN(Budgets!F49,K45+B46),2),"")</f>
        <v>150</v>
      </c>
      <c r="D46" s="7" t="n">
        <f aca="false">IF(AND(Ziele!$B$18="Plan bereit",40&lt;=Ziele!$B$5),ROUND(Budgets!F49-C46,2),"")</f>
        <v>0</v>
      </c>
      <c r="E46" s="7" t="n">
        <f aca="false">IF(AND(Ziele!$B$18="Plan bereit",40&lt;=Ziele!$B$5),ROUND(MAX(0,MIN(MAX(0,ROUND(Ziele!C10-B113,2)),IF(Ziele!E10="",MAX(0,ROUND(Ziele!C10-B113,2)),Ziele!E10),K45+B46-C46-0)),2),"")</f>
        <v>0</v>
      </c>
      <c r="F46" s="7" t="n">
        <f aca="false">IF(AND(Ziele!$B$18="Plan bereit",40&lt;=Ziele!$B$5),ROUND(MAX(0,MIN(MAX(0,ROUND(Ziele!C11-C113,2)),IF(Ziele!E11="",MAX(0,ROUND(Ziele!C11-C113,2)),Ziele!E11),K45+B46-C46-SUM(E46:E46))),2),"")</f>
        <v>350</v>
      </c>
      <c r="G46" s="7" t="n">
        <f aca="false">IF(AND(Ziele!$B$18="Plan bereit",40&lt;=Ziele!$B$5),ROUND(MAX(0,MIN(MAX(0,ROUND(Ziele!C12-D113,2)),IF(Ziele!E12="",MAX(0,ROUND(Ziele!C12-D113,2)),Ziele!E12),K45+B46-C46-SUM(E46:F46))),2),"")</f>
        <v>0</v>
      </c>
      <c r="H46" s="7" t="n">
        <f aca="false">IF(AND(Ziele!$B$18="Plan bereit",40&lt;=Ziele!$B$5),ROUND(MAX(0,MIN(MAX(0,ROUND(Ziele!C13-E113,2)),IF(Ziele!E13="",MAX(0,ROUND(Ziele!C13-E113,2)),Ziele!E13),K45+B46-C46-SUM(E46:G46))),2),"")</f>
        <v>0</v>
      </c>
      <c r="I46" s="7" t="n">
        <f aca="false">IF(AND(Ziele!$B$18="Plan bereit",40&lt;=Ziele!$B$5),ROUND(MAX(0,MIN(MAX(0,ROUND(Ziele!C14-F113,2)),IF(Ziele!E14="",MAX(0,ROUND(Ziele!C14-F113,2)),Ziele!E14),K45+B46-C46-SUM(E46:H46))),2),"")</f>
        <v>0</v>
      </c>
      <c r="J46" s="7" t="n">
        <f aca="false">IF(AND(Ziele!$B$18="Plan bereit",40&lt;=Ziele!$B$5),ROUND(MAX(0,MIN(MAX(0,ROUND(Ziele!C15-G113,2)),IF(Ziele!E15="",MAX(0,ROUND(Ziele!C15-G113,2)),Ziele!E15),K45+B46-C46-SUM(E46:I46))),2),"")</f>
        <v>0</v>
      </c>
      <c r="K46" s="7" t="n">
        <f aca="false">IF(AND(Ziele!$B$18="Plan bereit",40&lt;=Ziele!$B$5),ROUND(K45+B46-C46-SUM(E46:J46),2),"")</f>
        <v>0</v>
      </c>
      <c r="L46" s="7" t="n">
        <f aca="false">IF(AND(Ziele!$B$18="Plan bereit",40&lt;=Ziele!$B$5),ROUND(Ziele!$B$4+SUM(B$7:B46)-SUM(C$7:C46)-H114-K46-Ziele!$B$21,2),"")</f>
        <v>0</v>
      </c>
    </row>
    <row r="47" customFormat="false" ht="22.5" hidden="false" customHeight="true" outlineLevel="0" collapsed="false">
      <c r="A47" s="6" t="n">
        <f aca="false">IF(AND(Ziele!$B$18="Plan bereit",41&lt;=Ziele!$B$5),41,"")</f>
        <v>41</v>
      </c>
      <c r="B47" s="7" t="n">
        <f aca="false">IF(AND(Ziele!$B$18="Plan bereit",41&lt;=Ziele!$B$5),Budgets!E50,"")</f>
        <v>500</v>
      </c>
      <c r="C47" s="7" t="n">
        <f aca="false">IF(AND(Ziele!$B$18="Plan bereit",41&lt;=Ziele!$B$5),ROUND(MIN(Budgets!F50,K46+B47),2),"")</f>
        <v>150</v>
      </c>
      <c r="D47" s="7" t="n">
        <f aca="false">IF(AND(Ziele!$B$18="Plan bereit",41&lt;=Ziele!$B$5),ROUND(Budgets!F50-C47,2),"")</f>
        <v>0</v>
      </c>
      <c r="E47" s="7" t="n">
        <f aca="false">IF(AND(Ziele!$B$18="Plan bereit",41&lt;=Ziele!$B$5),ROUND(MAX(0,MIN(MAX(0,ROUND(Ziele!C10-B114,2)),IF(Ziele!E10="",MAX(0,ROUND(Ziele!C10-B114,2)),Ziele!E10),K46+B47-C47-0)),2),"")</f>
        <v>0</v>
      </c>
      <c r="F47" s="7" t="n">
        <f aca="false">IF(AND(Ziele!$B$18="Plan bereit",41&lt;=Ziele!$B$5),ROUND(MAX(0,MIN(MAX(0,ROUND(Ziele!C11-C114,2)),IF(Ziele!E11="",MAX(0,ROUND(Ziele!C11-C114,2)),Ziele!E11),K46+B47-C47-SUM(E47:E47))),2),"")</f>
        <v>350</v>
      </c>
      <c r="G47" s="7" t="n">
        <f aca="false">IF(AND(Ziele!$B$18="Plan bereit",41&lt;=Ziele!$B$5),ROUND(MAX(0,MIN(MAX(0,ROUND(Ziele!C12-D114,2)),IF(Ziele!E12="",MAX(0,ROUND(Ziele!C12-D114,2)),Ziele!E12),K46+B47-C47-SUM(E47:F47))),2),"")</f>
        <v>0</v>
      </c>
      <c r="H47" s="7" t="n">
        <f aca="false">IF(AND(Ziele!$B$18="Plan bereit",41&lt;=Ziele!$B$5),ROUND(MAX(0,MIN(MAX(0,ROUND(Ziele!C13-E114,2)),IF(Ziele!E13="",MAX(0,ROUND(Ziele!C13-E114,2)),Ziele!E13),K46+B47-C47-SUM(E47:G47))),2),"")</f>
        <v>0</v>
      </c>
      <c r="I47" s="7" t="n">
        <f aca="false">IF(AND(Ziele!$B$18="Plan bereit",41&lt;=Ziele!$B$5),ROUND(MAX(0,MIN(MAX(0,ROUND(Ziele!C14-F114,2)),IF(Ziele!E14="",MAX(0,ROUND(Ziele!C14-F114,2)),Ziele!E14),K46+B47-C47-SUM(E47:H47))),2),"")</f>
        <v>0</v>
      </c>
      <c r="J47" s="7" t="n">
        <f aca="false">IF(AND(Ziele!$B$18="Plan bereit",41&lt;=Ziele!$B$5),ROUND(MAX(0,MIN(MAX(0,ROUND(Ziele!C15-G114,2)),IF(Ziele!E15="",MAX(0,ROUND(Ziele!C15-G114,2)),Ziele!E15),K46+B47-C47-SUM(E47:I47))),2),"")</f>
        <v>0</v>
      </c>
      <c r="K47" s="7" t="n">
        <f aca="false">IF(AND(Ziele!$B$18="Plan bereit",41&lt;=Ziele!$B$5),ROUND(K46+B47-C47-SUM(E47:J47),2),"")</f>
        <v>0</v>
      </c>
      <c r="L47" s="7" t="n">
        <f aca="false">IF(AND(Ziele!$B$18="Plan bereit",41&lt;=Ziele!$B$5),ROUND(Ziele!$B$4+SUM(B$7:B47)-SUM(C$7:C47)-H115-K47-Ziele!$B$21,2),"")</f>
        <v>0</v>
      </c>
    </row>
    <row r="48" customFormat="false" ht="22.5" hidden="false" customHeight="true" outlineLevel="0" collapsed="false">
      <c r="A48" s="6" t="n">
        <f aca="false">IF(AND(Ziele!$B$18="Plan bereit",42&lt;=Ziele!$B$5),42,"")</f>
        <v>42</v>
      </c>
      <c r="B48" s="7" t="n">
        <f aca="false">IF(AND(Ziele!$B$18="Plan bereit",42&lt;=Ziele!$B$5),Budgets!E51,"")</f>
        <v>500</v>
      </c>
      <c r="C48" s="7" t="n">
        <f aca="false">IF(AND(Ziele!$B$18="Plan bereit",42&lt;=Ziele!$B$5),ROUND(MIN(Budgets!F51,K47+B48),2),"")</f>
        <v>150</v>
      </c>
      <c r="D48" s="7" t="n">
        <f aca="false">IF(AND(Ziele!$B$18="Plan bereit",42&lt;=Ziele!$B$5),ROUND(Budgets!F51-C48,2),"")</f>
        <v>0</v>
      </c>
      <c r="E48" s="7" t="n">
        <f aca="false">IF(AND(Ziele!$B$18="Plan bereit",42&lt;=Ziele!$B$5),ROUND(MAX(0,MIN(MAX(0,ROUND(Ziele!C10-B115,2)),IF(Ziele!E10="",MAX(0,ROUND(Ziele!C10-B115,2)),Ziele!E10),K47+B48-C48-0)),2),"")</f>
        <v>0</v>
      </c>
      <c r="F48" s="7" t="n">
        <f aca="false">IF(AND(Ziele!$B$18="Plan bereit",42&lt;=Ziele!$B$5),ROUND(MAX(0,MIN(MAX(0,ROUND(Ziele!C11-C115,2)),IF(Ziele!E11="",MAX(0,ROUND(Ziele!C11-C115,2)),Ziele!E11),K47+B48-C48-SUM(E48:E48))),2),"")</f>
        <v>350</v>
      </c>
      <c r="G48" s="7" t="n">
        <f aca="false">IF(AND(Ziele!$B$18="Plan bereit",42&lt;=Ziele!$B$5),ROUND(MAX(0,MIN(MAX(0,ROUND(Ziele!C12-D115,2)),IF(Ziele!E12="",MAX(0,ROUND(Ziele!C12-D115,2)),Ziele!E12),K47+B48-C48-SUM(E48:F48))),2),"")</f>
        <v>0</v>
      </c>
      <c r="H48" s="7" t="n">
        <f aca="false">IF(AND(Ziele!$B$18="Plan bereit",42&lt;=Ziele!$B$5),ROUND(MAX(0,MIN(MAX(0,ROUND(Ziele!C13-E115,2)),IF(Ziele!E13="",MAX(0,ROUND(Ziele!C13-E115,2)),Ziele!E13),K47+B48-C48-SUM(E48:G48))),2),"")</f>
        <v>0</v>
      </c>
      <c r="I48" s="7" t="n">
        <f aca="false">IF(AND(Ziele!$B$18="Plan bereit",42&lt;=Ziele!$B$5),ROUND(MAX(0,MIN(MAX(0,ROUND(Ziele!C14-F115,2)),IF(Ziele!E14="",MAX(0,ROUND(Ziele!C14-F115,2)),Ziele!E14),K47+B48-C48-SUM(E48:H48))),2),"")</f>
        <v>0</v>
      </c>
      <c r="J48" s="7" t="n">
        <f aca="false">IF(AND(Ziele!$B$18="Plan bereit",42&lt;=Ziele!$B$5),ROUND(MAX(0,MIN(MAX(0,ROUND(Ziele!C15-G115,2)),IF(Ziele!E15="",MAX(0,ROUND(Ziele!C15-G115,2)),Ziele!E15),K47+B48-C48-SUM(E48:I48))),2),"")</f>
        <v>0</v>
      </c>
      <c r="K48" s="7" t="n">
        <f aca="false">IF(AND(Ziele!$B$18="Plan bereit",42&lt;=Ziele!$B$5),ROUND(K47+B48-C48-SUM(E48:J48),2),"")</f>
        <v>0</v>
      </c>
      <c r="L48" s="7" t="n">
        <f aca="false">IF(AND(Ziele!$B$18="Plan bereit",42&lt;=Ziele!$B$5),ROUND(Ziele!$B$4+SUM(B$7:B48)-SUM(C$7:C48)-H116-K48-Ziele!$B$21,2),"")</f>
        <v>0</v>
      </c>
    </row>
    <row r="49" customFormat="false" ht="22.5" hidden="false" customHeight="true" outlineLevel="0" collapsed="false">
      <c r="A49" s="6" t="n">
        <f aca="false">IF(AND(Ziele!$B$18="Plan bereit",43&lt;=Ziele!$B$5),43,"")</f>
        <v>43</v>
      </c>
      <c r="B49" s="7" t="n">
        <f aca="false">IF(AND(Ziele!$B$18="Plan bereit",43&lt;=Ziele!$B$5),Budgets!E52,"")</f>
        <v>500</v>
      </c>
      <c r="C49" s="7" t="n">
        <f aca="false">IF(AND(Ziele!$B$18="Plan bereit",43&lt;=Ziele!$B$5),ROUND(MIN(Budgets!F52,K48+B49),2),"")</f>
        <v>150</v>
      </c>
      <c r="D49" s="7" t="n">
        <f aca="false">IF(AND(Ziele!$B$18="Plan bereit",43&lt;=Ziele!$B$5),ROUND(Budgets!F52-C49,2),"")</f>
        <v>0</v>
      </c>
      <c r="E49" s="7" t="n">
        <f aca="false">IF(AND(Ziele!$B$18="Plan bereit",43&lt;=Ziele!$B$5),ROUND(MAX(0,MIN(MAX(0,ROUND(Ziele!C10-B116,2)),IF(Ziele!E10="",MAX(0,ROUND(Ziele!C10-B116,2)),Ziele!E10),K48+B49-C49-0)),2),"")</f>
        <v>0</v>
      </c>
      <c r="F49" s="7" t="n">
        <f aca="false">IF(AND(Ziele!$B$18="Plan bereit",43&lt;=Ziele!$B$5),ROUND(MAX(0,MIN(MAX(0,ROUND(Ziele!C11-C116,2)),IF(Ziele!E11="",MAX(0,ROUND(Ziele!C11-C116,2)),Ziele!E11),K48+B49-C49-SUM(E49:E49))),2),"")</f>
        <v>350</v>
      </c>
      <c r="G49" s="7" t="n">
        <f aca="false">IF(AND(Ziele!$B$18="Plan bereit",43&lt;=Ziele!$B$5),ROUND(MAX(0,MIN(MAX(0,ROUND(Ziele!C12-D116,2)),IF(Ziele!E12="",MAX(0,ROUND(Ziele!C12-D116,2)),Ziele!E12),K48+B49-C49-SUM(E49:F49))),2),"")</f>
        <v>0</v>
      </c>
      <c r="H49" s="7" t="n">
        <f aca="false">IF(AND(Ziele!$B$18="Plan bereit",43&lt;=Ziele!$B$5),ROUND(MAX(0,MIN(MAX(0,ROUND(Ziele!C13-E116,2)),IF(Ziele!E13="",MAX(0,ROUND(Ziele!C13-E116,2)),Ziele!E13),K48+B49-C49-SUM(E49:G49))),2),"")</f>
        <v>0</v>
      </c>
      <c r="I49" s="7" t="n">
        <f aca="false">IF(AND(Ziele!$B$18="Plan bereit",43&lt;=Ziele!$B$5),ROUND(MAX(0,MIN(MAX(0,ROUND(Ziele!C14-F116,2)),IF(Ziele!E14="",MAX(0,ROUND(Ziele!C14-F116,2)),Ziele!E14),K48+B49-C49-SUM(E49:H49))),2),"")</f>
        <v>0</v>
      </c>
      <c r="J49" s="7" t="n">
        <f aca="false">IF(AND(Ziele!$B$18="Plan bereit",43&lt;=Ziele!$B$5),ROUND(MAX(0,MIN(MAX(0,ROUND(Ziele!C15-G116,2)),IF(Ziele!E15="",MAX(0,ROUND(Ziele!C15-G116,2)),Ziele!E15),K48+B49-C49-SUM(E49:I49))),2),"")</f>
        <v>0</v>
      </c>
      <c r="K49" s="7" t="n">
        <f aca="false">IF(AND(Ziele!$B$18="Plan bereit",43&lt;=Ziele!$B$5),ROUND(K48+B49-C49-SUM(E49:J49),2),"")</f>
        <v>0</v>
      </c>
      <c r="L49" s="7" t="n">
        <f aca="false">IF(AND(Ziele!$B$18="Plan bereit",43&lt;=Ziele!$B$5),ROUND(Ziele!$B$4+SUM(B$7:B49)-SUM(C$7:C49)-H117-K49-Ziele!$B$21,2),"")</f>
        <v>0</v>
      </c>
    </row>
    <row r="50" customFormat="false" ht="22.5" hidden="false" customHeight="true" outlineLevel="0" collapsed="false">
      <c r="A50" s="6" t="n">
        <f aca="false">IF(AND(Ziele!$B$18="Plan bereit",44&lt;=Ziele!$B$5),44,"")</f>
        <v>44</v>
      </c>
      <c r="B50" s="7" t="n">
        <f aca="false">IF(AND(Ziele!$B$18="Plan bereit",44&lt;=Ziele!$B$5),Budgets!E53,"")</f>
        <v>500</v>
      </c>
      <c r="C50" s="7" t="n">
        <f aca="false">IF(AND(Ziele!$B$18="Plan bereit",44&lt;=Ziele!$B$5),ROUND(MIN(Budgets!F53,K49+B50),2),"")</f>
        <v>150</v>
      </c>
      <c r="D50" s="7" t="n">
        <f aca="false">IF(AND(Ziele!$B$18="Plan bereit",44&lt;=Ziele!$B$5),ROUND(Budgets!F53-C50,2),"")</f>
        <v>0</v>
      </c>
      <c r="E50" s="7" t="n">
        <f aca="false">IF(AND(Ziele!$B$18="Plan bereit",44&lt;=Ziele!$B$5),ROUND(MAX(0,MIN(MAX(0,ROUND(Ziele!C10-B117,2)),IF(Ziele!E10="",MAX(0,ROUND(Ziele!C10-B117,2)),Ziele!E10),K49+B50-C50-0)),2),"")</f>
        <v>0</v>
      </c>
      <c r="F50" s="7" t="n">
        <f aca="false">IF(AND(Ziele!$B$18="Plan bereit",44&lt;=Ziele!$B$5),ROUND(MAX(0,MIN(MAX(0,ROUND(Ziele!C11-C117,2)),IF(Ziele!E11="",MAX(0,ROUND(Ziele!C11-C117,2)),Ziele!E11),K49+B50-C50-SUM(E50:E50))),2),"")</f>
        <v>350</v>
      </c>
      <c r="G50" s="7" t="n">
        <f aca="false">IF(AND(Ziele!$B$18="Plan bereit",44&lt;=Ziele!$B$5),ROUND(MAX(0,MIN(MAX(0,ROUND(Ziele!C12-D117,2)),IF(Ziele!E12="",MAX(0,ROUND(Ziele!C12-D117,2)),Ziele!E12),K49+B50-C50-SUM(E50:F50))),2),"")</f>
        <v>0</v>
      </c>
      <c r="H50" s="7" t="n">
        <f aca="false">IF(AND(Ziele!$B$18="Plan bereit",44&lt;=Ziele!$B$5),ROUND(MAX(0,MIN(MAX(0,ROUND(Ziele!C13-E117,2)),IF(Ziele!E13="",MAX(0,ROUND(Ziele!C13-E117,2)),Ziele!E13),K49+B50-C50-SUM(E50:G50))),2),"")</f>
        <v>0</v>
      </c>
      <c r="I50" s="7" t="n">
        <f aca="false">IF(AND(Ziele!$B$18="Plan bereit",44&lt;=Ziele!$B$5),ROUND(MAX(0,MIN(MAX(0,ROUND(Ziele!C14-F117,2)),IF(Ziele!E14="",MAX(0,ROUND(Ziele!C14-F117,2)),Ziele!E14),K49+B50-C50-SUM(E50:H50))),2),"")</f>
        <v>0</v>
      </c>
      <c r="J50" s="7" t="n">
        <f aca="false">IF(AND(Ziele!$B$18="Plan bereit",44&lt;=Ziele!$B$5),ROUND(MAX(0,MIN(MAX(0,ROUND(Ziele!C15-G117,2)),IF(Ziele!E15="",MAX(0,ROUND(Ziele!C15-G117,2)),Ziele!E15),K49+B50-C50-SUM(E50:I50))),2),"")</f>
        <v>0</v>
      </c>
      <c r="K50" s="7" t="n">
        <f aca="false">IF(AND(Ziele!$B$18="Plan bereit",44&lt;=Ziele!$B$5),ROUND(K49+B50-C50-SUM(E50:J50),2),"")</f>
        <v>0</v>
      </c>
      <c r="L50" s="7" t="n">
        <f aca="false">IF(AND(Ziele!$B$18="Plan bereit",44&lt;=Ziele!$B$5),ROUND(Ziele!$B$4+SUM(B$7:B50)-SUM(C$7:C50)-H118-K50-Ziele!$B$21,2),"")</f>
        <v>0</v>
      </c>
    </row>
    <row r="51" customFormat="false" ht="22.5" hidden="false" customHeight="true" outlineLevel="0" collapsed="false">
      <c r="A51" s="6" t="n">
        <f aca="false">IF(AND(Ziele!$B$18="Plan bereit",45&lt;=Ziele!$B$5),45,"")</f>
        <v>45</v>
      </c>
      <c r="B51" s="7" t="n">
        <f aca="false">IF(AND(Ziele!$B$18="Plan bereit",45&lt;=Ziele!$B$5),Budgets!E54,"")</f>
        <v>500</v>
      </c>
      <c r="C51" s="7" t="n">
        <f aca="false">IF(AND(Ziele!$B$18="Plan bereit",45&lt;=Ziele!$B$5),ROUND(MIN(Budgets!F54,K50+B51),2),"")</f>
        <v>150</v>
      </c>
      <c r="D51" s="7" t="n">
        <f aca="false">IF(AND(Ziele!$B$18="Plan bereit",45&lt;=Ziele!$B$5),ROUND(Budgets!F54-C51,2),"")</f>
        <v>0</v>
      </c>
      <c r="E51" s="7" t="n">
        <f aca="false">IF(AND(Ziele!$B$18="Plan bereit",45&lt;=Ziele!$B$5),ROUND(MAX(0,MIN(MAX(0,ROUND(Ziele!C10-B118,2)),IF(Ziele!E10="",MAX(0,ROUND(Ziele!C10-B118,2)),Ziele!E10),K50+B51-C51-0)),2),"")</f>
        <v>0</v>
      </c>
      <c r="F51" s="7" t="n">
        <f aca="false">IF(AND(Ziele!$B$18="Plan bereit",45&lt;=Ziele!$B$5),ROUND(MAX(0,MIN(MAX(0,ROUND(Ziele!C11-C118,2)),IF(Ziele!E11="",MAX(0,ROUND(Ziele!C11-C118,2)),Ziele!E11),K50+B51-C51-SUM(E51:E51))),2),"")</f>
        <v>350</v>
      </c>
      <c r="G51" s="7" t="n">
        <f aca="false">IF(AND(Ziele!$B$18="Plan bereit",45&lt;=Ziele!$B$5),ROUND(MAX(0,MIN(MAX(0,ROUND(Ziele!C12-D118,2)),IF(Ziele!E12="",MAX(0,ROUND(Ziele!C12-D118,2)),Ziele!E12),K50+B51-C51-SUM(E51:F51))),2),"")</f>
        <v>0</v>
      </c>
      <c r="H51" s="7" t="n">
        <f aca="false">IF(AND(Ziele!$B$18="Plan bereit",45&lt;=Ziele!$B$5),ROUND(MAX(0,MIN(MAX(0,ROUND(Ziele!C13-E118,2)),IF(Ziele!E13="",MAX(0,ROUND(Ziele!C13-E118,2)),Ziele!E13),K50+B51-C51-SUM(E51:G51))),2),"")</f>
        <v>0</v>
      </c>
      <c r="I51" s="7" t="n">
        <f aca="false">IF(AND(Ziele!$B$18="Plan bereit",45&lt;=Ziele!$B$5),ROUND(MAX(0,MIN(MAX(0,ROUND(Ziele!C14-F118,2)),IF(Ziele!E14="",MAX(0,ROUND(Ziele!C14-F118,2)),Ziele!E14),K50+B51-C51-SUM(E51:H51))),2),"")</f>
        <v>0</v>
      </c>
      <c r="J51" s="7" t="n">
        <f aca="false">IF(AND(Ziele!$B$18="Plan bereit",45&lt;=Ziele!$B$5),ROUND(MAX(0,MIN(MAX(0,ROUND(Ziele!C15-G118,2)),IF(Ziele!E15="",MAX(0,ROUND(Ziele!C15-G118,2)),Ziele!E15),K50+B51-C51-SUM(E51:I51))),2),"")</f>
        <v>0</v>
      </c>
      <c r="K51" s="7" t="n">
        <f aca="false">IF(AND(Ziele!$B$18="Plan bereit",45&lt;=Ziele!$B$5),ROUND(K50+B51-C51-SUM(E51:J51),2),"")</f>
        <v>0</v>
      </c>
      <c r="L51" s="7" t="n">
        <f aca="false">IF(AND(Ziele!$B$18="Plan bereit",45&lt;=Ziele!$B$5),ROUND(Ziele!$B$4+SUM(B$7:B51)-SUM(C$7:C51)-H119-K51-Ziele!$B$21,2),"")</f>
        <v>0</v>
      </c>
    </row>
    <row r="52" customFormat="false" ht="22.5" hidden="false" customHeight="true" outlineLevel="0" collapsed="false">
      <c r="A52" s="6" t="n">
        <f aca="false">IF(AND(Ziele!$B$18="Plan bereit",46&lt;=Ziele!$B$5),46,"")</f>
        <v>46</v>
      </c>
      <c r="B52" s="7" t="n">
        <f aca="false">IF(AND(Ziele!$B$18="Plan bereit",46&lt;=Ziele!$B$5),Budgets!E55,"")</f>
        <v>500</v>
      </c>
      <c r="C52" s="7" t="n">
        <f aca="false">IF(AND(Ziele!$B$18="Plan bereit",46&lt;=Ziele!$B$5),ROUND(MIN(Budgets!F55,K51+B52),2),"")</f>
        <v>150</v>
      </c>
      <c r="D52" s="7" t="n">
        <f aca="false">IF(AND(Ziele!$B$18="Plan bereit",46&lt;=Ziele!$B$5),ROUND(Budgets!F55-C52,2),"")</f>
        <v>0</v>
      </c>
      <c r="E52" s="7" t="n">
        <f aca="false">IF(AND(Ziele!$B$18="Plan bereit",46&lt;=Ziele!$B$5),ROUND(MAX(0,MIN(MAX(0,ROUND(Ziele!C10-B119,2)),IF(Ziele!E10="",MAX(0,ROUND(Ziele!C10-B119,2)),Ziele!E10),K51+B52-C52-0)),2),"")</f>
        <v>0</v>
      </c>
      <c r="F52" s="7" t="n">
        <f aca="false">IF(AND(Ziele!$B$18="Plan bereit",46&lt;=Ziele!$B$5),ROUND(MAX(0,MIN(MAX(0,ROUND(Ziele!C11-C119,2)),IF(Ziele!E11="",MAX(0,ROUND(Ziele!C11-C119,2)),Ziele!E11),K51+B52-C52-SUM(E52:E52))),2),"")</f>
        <v>350</v>
      </c>
      <c r="G52" s="7" t="n">
        <f aca="false">IF(AND(Ziele!$B$18="Plan bereit",46&lt;=Ziele!$B$5),ROUND(MAX(0,MIN(MAX(0,ROUND(Ziele!C12-D119,2)),IF(Ziele!E12="",MAX(0,ROUND(Ziele!C12-D119,2)),Ziele!E12),K51+B52-C52-SUM(E52:F52))),2),"")</f>
        <v>0</v>
      </c>
      <c r="H52" s="7" t="n">
        <f aca="false">IF(AND(Ziele!$B$18="Plan bereit",46&lt;=Ziele!$B$5),ROUND(MAX(0,MIN(MAX(0,ROUND(Ziele!C13-E119,2)),IF(Ziele!E13="",MAX(0,ROUND(Ziele!C13-E119,2)),Ziele!E13),K51+B52-C52-SUM(E52:G52))),2),"")</f>
        <v>0</v>
      </c>
      <c r="I52" s="7" t="n">
        <f aca="false">IF(AND(Ziele!$B$18="Plan bereit",46&lt;=Ziele!$B$5),ROUND(MAX(0,MIN(MAX(0,ROUND(Ziele!C14-F119,2)),IF(Ziele!E14="",MAX(0,ROUND(Ziele!C14-F119,2)),Ziele!E14),K51+B52-C52-SUM(E52:H52))),2),"")</f>
        <v>0</v>
      </c>
      <c r="J52" s="7" t="n">
        <f aca="false">IF(AND(Ziele!$B$18="Plan bereit",46&lt;=Ziele!$B$5),ROUND(MAX(0,MIN(MAX(0,ROUND(Ziele!C15-G119,2)),IF(Ziele!E15="",MAX(0,ROUND(Ziele!C15-G119,2)),Ziele!E15),K51+B52-C52-SUM(E52:I52))),2),"")</f>
        <v>0</v>
      </c>
      <c r="K52" s="7" t="n">
        <f aca="false">IF(AND(Ziele!$B$18="Plan bereit",46&lt;=Ziele!$B$5),ROUND(K51+B52-C52-SUM(E52:J52),2),"")</f>
        <v>0</v>
      </c>
      <c r="L52" s="7" t="n">
        <f aca="false">IF(AND(Ziele!$B$18="Plan bereit",46&lt;=Ziele!$B$5),ROUND(Ziele!$B$4+SUM(B$7:B52)-SUM(C$7:C52)-H120-K52-Ziele!$B$21,2),"")</f>
        <v>0</v>
      </c>
    </row>
    <row r="53" customFormat="false" ht="22.5" hidden="false" customHeight="true" outlineLevel="0" collapsed="false">
      <c r="A53" s="6" t="n">
        <f aca="false">IF(AND(Ziele!$B$18="Plan bereit",47&lt;=Ziele!$B$5),47,"")</f>
        <v>47</v>
      </c>
      <c r="B53" s="7" t="n">
        <f aca="false">IF(AND(Ziele!$B$18="Plan bereit",47&lt;=Ziele!$B$5),Budgets!E56,"")</f>
        <v>500</v>
      </c>
      <c r="C53" s="7" t="n">
        <f aca="false">IF(AND(Ziele!$B$18="Plan bereit",47&lt;=Ziele!$B$5),ROUND(MIN(Budgets!F56,K52+B53),2),"")</f>
        <v>150</v>
      </c>
      <c r="D53" s="7" t="n">
        <f aca="false">IF(AND(Ziele!$B$18="Plan bereit",47&lt;=Ziele!$B$5),ROUND(Budgets!F56-C53,2),"")</f>
        <v>0</v>
      </c>
      <c r="E53" s="7" t="n">
        <f aca="false">IF(AND(Ziele!$B$18="Plan bereit",47&lt;=Ziele!$B$5),ROUND(MAX(0,MIN(MAX(0,ROUND(Ziele!C10-B120,2)),IF(Ziele!E10="",MAX(0,ROUND(Ziele!C10-B120,2)),Ziele!E10),K52+B53-C53-0)),2),"")</f>
        <v>0</v>
      </c>
      <c r="F53" s="7" t="n">
        <f aca="false">IF(AND(Ziele!$B$18="Plan bereit",47&lt;=Ziele!$B$5),ROUND(MAX(0,MIN(MAX(0,ROUND(Ziele!C11-C120,2)),IF(Ziele!E11="",MAX(0,ROUND(Ziele!C11-C120,2)),Ziele!E11),K52+B53-C53-SUM(E53:E53))),2),"")</f>
        <v>350</v>
      </c>
      <c r="G53" s="7" t="n">
        <f aca="false">IF(AND(Ziele!$B$18="Plan bereit",47&lt;=Ziele!$B$5),ROUND(MAX(0,MIN(MAX(0,ROUND(Ziele!C12-D120,2)),IF(Ziele!E12="",MAX(0,ROUND(Ziele!C12-D120,2)),Ziele!E12),K52+B53-C53-SUM(E53:F53))),2),"")</f>
        <v>0</v>
      </c>
      <c r="H53" s="7" t="n">
        <f aca="false">IF(AND(Ziele!$B$18="Plan bereit",47&lt;=Ziele!$B$5),ROUND(MAX(0,MIN(MAX(0,ROUND(Ziele!C13-E120,2)),IF(Ziele!E13="",MAX(0,ROUND(Ziele!C13-E120,2)),Ziele!E13),K52+B53-C53-SUM(E53:G53))),2),"")</f>
        <v>0</v>
      </c>
      <c r="I53" s="7" t="n">
        <f aca="false">IF(AND(Ziele!$B$18="Plan bereit",47&lt;=Ziele!$B$5),ROUND(MAX(0,MIN(MAX(0,ROUND(Ziele!C14-F120,2)),IF(Ziele!E14="",MAX(0,ROUND(Ziele!C14-F120,2)),Ziele!E14),K52+B53-C53-SUM(E53:H53))),2),"")</f>
        <v>0</v>
      </c>
      <c r="J53" s="7" t="n">
        <f aca="false">IF(AND(Ziele!$B$18="Plan bereit",47&lt;=Ziele!$B$5),ROUND(MAX(0,MIN(MAX(0,ROUND(Ziele!C15-G120,2)),IF(Ziele!E15="",MAX(0,ROUND(Ziele!C15-G120,2)),Ziele!E15),K52+B53-C53-SUM(E53:I53))),2),"")</f>
        <v>0</v>
      </c>
      <c r="K53" s="7" t="n">
        <f aca="false">IF(AND(Ziele!$B$18="Plan bereit",47&lt;=Ziele!$B$5),ROUND(K52+B53-C53-SUM(E53:J53),2),"")</f>
        <v>0</v>
      </c>
      <c r="L53" s="7" t="n">
        <f aca="false">IF(AND(Ziele!$B$18="Plan bereit",47&lt;=Ziele!$B$5),ROUND(Ziele!$B$4+SUM(B$7:B53)-SUM(C$7:C53)-H121-K53-Ziele!$B$21,2),"")</f>
        <v>0</v>
      </c>
    </row>
    <row r="54" customFormat="false" ht="22.5" hidden="false" customHeight="true" outlineLevel="0" collapsed="false">
      <c r="A54" s="6" t="n">
        <f aca="false">IF(AND(Ziele!$B$18="Plan bereit",48&lt;=Ziele!$B$5),48,"")</f>
        <v>48</v>
      </c>
      <c r="B54" s="7" t="n">
        <f aca="false">IF(AND(Ziele!$B$18="Plan bereit",48&lt;=Ziele!$B$5),Budgets!E57,"")</f>
        <v>500</v>
      </c>
      <c r="C54" s="7" t="n">
        <f aca="false">IF(AND(Ziele!$B$18="Plan bereit",48&lt;=Ziele!$B$5),ROUND(MIN(Budgets!F57,K53+B54),2),"")</f>
        <v>150</v>
      </c>
      <c r="D54" s="7" t="n">
        <f aca="false">IF(AND(Ziele!$B$18="Plan bereit",48&lt;=Ziele!$B$5),ROUND(Budgets!F57-C54,2),"")</f>
        <v>0</v>
      </c>
      <c r="E54" s="7" t="n">
        <f aca="false">IF(AND(Ziele!$B$18="Plan bereit",48&lt;=Ziele!$B$5),ROUND(MAX(0,MIN(MAX(0,ROUND(Ziele!C10-B121,2)),IF(Ziele!E10="",MAX(0,ROUND(Ziele!C10-B121,2)),Ziele!E10),K53+B54-C54-0)),2),"")</f>
        <v>0</v>
      </c>
      <c r="F54" s="7" t="n">
        <f aca="false">IF(AND(Ziele!$B$18="Plan bereit",48&lt;=Ziele!$B$5),ROUND(MAX(0,MIN(MAX(0,ROUND(Ziele!C11-C121,2)),IF(Ziele!E11="",MAX(0,ROUND(Ziele!C11-C121,2)),Ziele!E11),K53+B54-C54-SUM(E54:E54))),2),"")</f>
        <v>350</v>
      </c>
      <c r="G54" s="7" t="n">
        <f aca="false">IF(AND(Ziele!$B$18="Plan bereit",48&lt;=Ziele!$B$5),ROUND(MAX(0,MIN(MAX(0,ROUND(Ziele!C12-D121,2)),IF(Ziele!E12="",MAX(0,ROUND(Ziele!C12-D121,2)),Ziele!E12),K53+B54-C54-SUM(E54:F54))),2),"")</f>
        <v>0</v>
      </c>
      <c r="H54" s="7" t="n">
        <f aca="false">IF(AND(Ziele!$B$18="Plan bereit",48&lt;=Ziele!$B$5),ROUND(MAX(0,MIN(MAX(0,ROUND(Ziele!C13-E121,2)),IF(Ziele!E13="",MAX(0,ROUND(Ziele!C13-E121,2)),Ziele!E13),K53+B54-C54-SUM(E54:G54))),2),"")</f>
        <v>0</v>
      </c>
      <c r="I54" s="7" t="n">
        <f aca="false">IF(AND(Ziele!$B$18="Plan bereit",48&lt;=Ziele!$B$5),ROUND(MAX(0,MIN(MAX(0,ROUND(Ziele!C14-F121,2)),IF(Ziele!E14="",MAX(0,ROUND(Ziele!C14-F121,2)),Ziele!E14),K53+B54-C54-SUM(E54:H54))),2),"")</f>
        <v>0</v>
      </c>
      <c r="J54" s="7" t="n">
        <f aca="false">IF(AND(Ziele!$B$18="Plan bereit",48&lt;=Ziele!$B$5),ROUND(MAX(0,MIN(MAX(0,ROUND(Ziele!C15-G121,2)),IF(Ziele!E15="",MAX(0,ROUND(Ziele!C15-G121,2)),Ziele!E15),K53+B54-C54-SUM(E54:I54))),2),"")</f>
        <v>0</v>
      </c>
      <c r="K54" s="7" t="n">
        <f aca="false">IF(AND(Ziele!$B$18="Plan bereit",48&lt;=Ziele!$B$5),ROUND(K53+B54-C54-SUM(E54:J54),2),"")</f>
        <v>0</v>
      </c>
      <c r="L54" s="7" t="n">
        <f aca="false">IF(AND(Ziele!$B$18="Plan bereit",48&lt;=Ziele!$B$5),ROUND(Ziele!$B$4+SUM(B$7:B54)-SUM(C$7:C54)-H122-K54-Ziele!$B$21,2),"")</f>
        <v>0</v>
      </c>
    </row>
    <row r="55" customFormat="false" ht="22.5" hidden="false" customHeight="true" outlineLevel="0" collapsed="false">
      <c r="A55" s="6" t="str">
        <f aca="false">IF(AND(Ziele!$B$18="Plan bereit",49&lt;=Ziele!$B$5),49,"")</f>
        <v/>
      </c>
      <c r="B55" s="7" t="str">
        <f aca="false">IF(AND(Ziele!$B$18="Plan bereit",49&lt;=Ziele!$B$5),Budgets!E58,"")</f>
        <v/>
      </c>
      <c r="C55" s="7" t="str">
        <f aca="false">IF(AND(Ziele!$B$18="Plan bereit",49&lt;=Ziele!$B$5),ROUND(MIN(Budgets!F58,K54+B55),2),"")</f>
        <v/>
      </c>
      <c r="D55" s="7" t="str">
        <f aca="false">IF(AND(Ziele!$B$18="Plan bereit",49&lt;=Ziele!$B$5),ROUND(Budgets!F58-C55,2),"")</f>
        <v/>
      </c>
      <c r="E55" s="7" t="str">
        <f aca="false">IF(AND(Ziele!$B$18="Plan bereit",49&lt;=Ziele!$B$5),ROUND(MAX(0,MIN(MAX(0,ROUND(Ziele!C10-B122,2)),IF(Ziele!E10="",MAX(0,ROUND(Ziele!C10-B122,2)),Ziele!E10),K54+B55-C55-0)),2),"")</f>
        <v/>
      </c>
      <c r="F55" s="7" t="str">
        <f aca="false">IF(AND(Ziele!$B$18="Plan bereit",49&lt;=Ziele!$B$5),ROUND(MAX(0,MIN(MAX(0,ROUND(Ziele!C11-C122,2)),IF(Ziele!E11="",MAX(0,ROUND(Ziele!C11-C122,2)),Ziele!E11),K54+B55-C55-SUM(E55:E55))),2),"")</f>
        <v/>
      </c>
      <c r="G55" s="7" t="str">
        <f aca="false">IF(AND(Ziele!$B$18="Plan bereit",49&lt;=Ziele!$B$5),ROUND(MAX(0,MIN(MAX(0,ROUND(Ziele!C12-D122,2)),IF(Ziele!E12="",MAX(0,ROUND(Ziele!C12-D122,2)),Ziele!E12),K54+B55-C55-SUM(E55:F55))),2),"")</f>
        <v/>
      </c>
      <c r="H55" s="7" t="str">
        <f aca="false">IF(AND(Ziele!$B$18="Plan bereit",49&lt;=Ziele!$B$5),ROUND(MAX(0,MIN(MAX(0,ROUND(Ziele!C13-E122,2)),IF(Ziele!E13="",MAX(0,ROUND(Ziele!C13-E122,2)),Ziele!E13),K54+B55-C55-SUM(E55:G55))),2),"")</f>
        <v/>
      </c>
      <c r="I55" s="7" t="str">
        <f aca="false">IF(AND(Ziele!$B$18="Plan bereit",49&lt;=Ziele!$B$5),ROUND(MAX(0,MIN(MAX(0,ROUND(Ziele!C14-F122,2)),IF(Ziele!E14="",MAX(0,ROUND(Ziele!C14-F122,2)),Ziele!E14),K54+B55-C55-SUM(E55:H55))),2),"")</f>
        <v/>
      </c>
      <c r="J55" s="7" t="str">
        <f aca="false">IF(AND(Ziele!$B$18="Plan bereit",49&lt;=Ziele!$B$5),ROUND(MAX(0,MIN(MAX(0,ROUND(Ziele!C15-G122,2)),IF(Ziele!E15="",MAX(0,ROUND(Ziele!C15-G122,2)),Ziele!E15),K54+B55-C55-SUM(E55:I55))),2),"")</f>
        <v/>
      </c>
      <c r="K55" s="7" t="str">
        <f aca="false">IF(AND(Ziele!$B$18="Plan bereit",49&lt;=Ziele!$B$5),ROUND(K54+B55-C55-SUM(E55:J55),2),"")</f>
        <v/>
      </c>
      <c r="L55" s="7" t="str">
        <f aca="false">IF(AND(Ziele!$B$18="Plan bereit",49&lt;=Ziele!$B$5),ROUND(Ziele!$B$4+SUM(B$7:B55)-SUM(C$7:C55)-H123-K55-Ziele!$B$21,2),"")</f>
        <v/>
      </c>
    </row>
    <row r="56" customFormat="false" ht="22.5" hidden="false" customHeight="true" outlineLevel="0" collapsed="false">
      <c r="A56" s="6" t="str">
        <f aca="false">IF(AND(Ziele!$B$18="Plan bereit",50&lt;=Ziele!$B$5),50,"")</f>
        <v/>
      </c>
      <c r="B56" s="7" t="str">
        <f aca="false">IF(AND(Ziele!$B$18="Plan bereit",50&lt;=Ziele!$B$5),Budgets!E59,"")</f>
        <v/>
      </c>
      <c r="C56" s="7" t="str">
        <f aca="false">IF(AND(Ziele!$B$18="Plan bereit",50&lt;=Ziele!$B$5),ROUND(MIN(Budgets!F59,K55+B56),2),"")</f>
        <v/>
      </c>
      <c r="D56" s="7" t="str">
        <f aca="false">IF(AND(Ziele!$B$18="Plan bereit",50&lt;=Ziele!$B$5),ROUND(Budgets!F59-C56,2),"")</f>
        <v/>
      </c>
      <c r="E56" s="7" t="str">
        <f aca="false">IF(AND(Ziele!$B$18="Plan bereit",50&lt;=Ziele!$B$5),ROUND(MAX(0,MIN(MAX(0,ROUND(Ziele!C10-B123,2)),IF(Ziele!E10="",MAX(0,ROUND(Ziele!C10-B123,2)),Ziele!E10),K55+B56-C56-0)),2),"")</f>
        <v/>
      </c>
      <c r="F56" s="7" t="str">
        <f aca="false">IF(AND(Ziele!$B$18="Plan bereit",50&lt;=Ziele!$B$5),ROUND(MAX(0,MIN(MAX(0,ROUND(Ziele!C11-C123,2)),IF(Ziele!E11="",MAX(0,ROUND(Ziele!C11-C123,2)),Ziele!E11),K55+B56-C56-SUM(E56:E56))),2),"")</f>
        <v/>
      </c>
      <c r="G56" s="7" t="str">
        <f aca="false">IF(AND(Ziele!$B$18="Plan bereit",50&lt;=Ziele!$B$5),ROUND(MAX(0,MIN(MAX(0,ROUND(Ziele!C12-D123,2)),IF(Ziele!E12="",MAX(0,ROUND(Ziele!C12-D123,2)),Ziele!E12),K55+B56-C56-SUM(E56:F56))),2),"")</f>
        <v/>
      </c>
      <c r="H56" s="7" t="str">
        <f aca="false">IF(AND(Ziele!$B$18="Plan bereit",50&lt;=Ziele!$B$5),ROUND(MAX(0,MIN(MAX(0,ROUND(Ziele!C13-E123,2)),IF(Ziele!E13="",MAX(0,ROUND(Ziele!C13-E123,2)),Ziele!E13),K55+B56-C56-SUM(E56:G56))),2),"")</f>
        <v/>
      </c>
      <c r="I56" s="7" t="str">
        <f aca="false">IF(AND(Ziele!$B$18="Plan bereit",50&lt;=Ziele!$B$5),ROUND(MAX(0,MIN(MAX(0,ROUND(Ziele!C14-F123,2)),IF(Ziele!E14="",MAX(0,ROUND(Ziele!C14-F123,2)),Ziele!E14),K55+B56-C56-SUM(E56:H56))),2),"")</f>
        <v/>
      </c>
      <c r="J56" s="7" t="str">
        <f aca="false">IF(AND(Ziele!$B$18="Plan bereit",50&lt;=Ziele!$B$5),ROUND(MAX(0,MIN(MAX(0,ROUND(Ziele!C15-G123,2)),IF(Ziele!E15="",MAX(0,ROUND(Ziele!C15-G123,2)),Ziele!E15),K55+B56-C56-SUM(E56:I56))),2),"")</f>
        <v/>
      </c>
      <c r="K56" s="7" t="str">
        <f aca="false">IF(AND(Ziele!$B$18="Plan bereit",50&lt;=Ziele!$B$5),ROUND(K55+B56-C56-SUM(E56:J56),2),"")</f>
        <v/>
      </c>
      <c r="L56" s="7" t="str">
        <f aca="false">IF(AND(Ziele!$B$18="Plan bereit",50&lt;=Ziele!$B$5),ROUND(Ziele!$B$4+SUM(B$7:B56)-SUM(C$7:C56)-H124-K56-Ziele!$B$21,2),"")</f>
        <v/>
      </c>
    </row>
    <row r="57" customFormat="false" ht="22.5" hidden="false" customHeight="true" outlineLevel="0" collapsed="false">
      <c r="A57" s="6" t="str">
        <f aca="false">IF(AND(Ziele!$B$18="Plan bereit",51&lt;=Ziele!$B$5),51,"")</f>
        <v/>
      </c>
      <c r="B57" s="7" t="str">
        <f aca="false">IF(AND(Ziele!$B$18="Plan bereit",51&lt;=Ziele!$B$5),Budgets!E60,"")</f>
        <v/>
      </c>
      <c r="C57" s="7" t="str">
        <f aca="false">IF(AND(Ziele!$B$18="Plan bereit",51&lt;=Ziele!$B$5),ROUND(MIN(Budgets!F60,K56+B57),2),"")</f>
        <v/>
      </c>
      <c r="D57" s="7" t="str">
        <f aca="false">IF(AND(Ziele!$B$18="Plan bereit",51&lt;=Ziele!$B$5),ROUND(Budgets!F60-C57,2),"")</f>
        <v/>
      </c>
      <c r="E57" s="7" t="str">
        <f aca="false">IF(AND(Ziele!$B$18="Plan bereit",51&lt;=Ziele!$B$5),ROUND(MAX(0,MIN(MAX(0,ROUND(Ziele!C10-B124,2)),IF(Ziele!E10="",MAX(0,ROUND(Ziele!C10-B124,2)),Ziele!E10),K56+B57-C57-0)),2),"")</f>
        <v/>
      </c>
      <c r="F57" s="7" t="str">
        <f aca="false">IF(AND(Ziele!$B$18="Plan bereit",51&lt;=Ziele!$B$5),ROUND(MAX(0,MIN(MAX(0,ROUND(Ziele!C11-C124,2)),IF(Ziele!E11="",MAX(0,ROUND(Ziele!C11-C124,2)),Ziele!E11),K56+B57-C57-SUM(E57:E57))),2),"")</f>
        <v/>
      </c>
      <c r="G57" s="7" t="str">
        <f aca="false">IF(AND(Ziele!$B$18="Plan bereit",51&lt;=Ziele!$B$5),ROUND(MAX(0,MIN(MAX(0,ROUND(Ziele!C12-D124,2)),IF(Ziele!E12="",MAX(0,ROUND(Ziele!C12-D124,2)),Ziele!E12),K56+B57-C57-SUM(E57:F57))),2),"")</f>
        <v/>
      </c>
      <c r="H57" s="7" t="str">
        <f aca="false">IF(AND(Ziele!$B$18="Plan bereit",51&lt;=Ziele!$B$5),ROUND(MAX(0,MIN(MAX(0,ROUND(Ziele!C13-E124,2)),IF(Ziele!E13="",MAX(0,ROUND(Ziele!C13-E124,2)),Ziele!E13),K56+B57-C57-SUM(E57:G57))),2),"")</f>
        <v/>
      </c>
      <c r="I57" s="7" t="str">
        <f aca="false">IF(AND(Ziele!$B$18="Plan bereit",51&lt;=Ziele!$B$5),ROUND(MAX(0,MIN(MAX(0,ROUND(Ziele!C14-F124,2)),IF(Ziele!E14="",MAX(0,ROUND(Ziele!C14-F124,2)),Ziele!E14),K56+B57-C57-SUM(E57:H57))),2),"")</f>
        <v/>
      </c>
      <c r="J57" s="7" t="str">
        <f aca="false">IF(AND(Ziele!$B$18="Plan bereit",51&lt;=Ziele!$B$5),ROUND(MAX(0,MIN(MAX(0,ROUND(Ziele!C15-G124,2)),IF(Ziele!E15="",MAX(0,ROUND(Ziele!C15-G124,2)),Ziele!E15),K56+B57-C57-SUM(E57:I57))),2),"")</f>
        <v/>
      </c>
      <c r="K57" s="7" t="str">
        <f aca="false">IF(AND(Ziele!$B$18="Plan bereit",51&lt;=Ziele!$B$5),ROUND(K56+B57-C57-SUM(E57:J57),2),"")</f>
        <v/>
      </c>
      <c r="L57" s="7" t="str">
        <f aca="false">IF(AND(Ziele!$B$18="Plan bereit",51&lt;=Ziele!$B$5),ROUND(Ziele!$B$4+SUM(B$7:B57)-SUM(C$7:C57)-H125-K57-Ziele!$B$21,2),"")</f>
        <v/>
      </c>
    </row>
    <row r="58" customFormat="false" ht="22.5" hidden="false" customHeight="true" outlineLevel="0" collapsed="false">
      <c r="A58" s="6" t="str">
        <f aca="false">IF(AND(Ziele!$B$18="Plan bereit",52&lt;=Ziele!$B$5),52,"")</f>
        <v/>
      </c>
      <c r="B58" s="7" t="str">
        <f aca="false">IF(AND(Ziele!$B$18="Plan bereit",52&lt;=Ziele!$B$5),Budgets!E61,"")</f>
        <v/>
      </c>
      <c r="C58" s="7" t="str">
        <f aca="false">IF(AND(Ziele!$B$18="Plan bereit",52&lt;=Ziele!$B$5),ROUND(MIN(Budgets!F61,K57+B58),2),"")</f>
        <v/>
      </c>
      <c r="D58" s="7" t="str">
        <f aca="false">IF(AND(Ziele!$B$18="Plan bereit",52&lt;=Ziele!$B$5),ROUND(Budgets!F61-C58,2),"")</f>
        <v/>
      </c>
      <c r="E58" s="7" t="str">
        <f aca="false">IF(AND(Ziele!$B$18="Plan bereit",52&lt;=Ziele!$B$5),ROUND(MAX(0,MIN(MAX(0,ROUND(Ziele!C10-B125,2)),IF(Ziele!E10="",MAX(0,ROUND(Ziele!C10-B125,2)),Ziele!E10),K57+B58-C58-0)),2),"")</f>
        <v/>
      </c>
      <c r="F58" s="7" t="str">
        <f aca="false">IF(AND(Ziele!$B$18="Plan bereit",52&lt;=Ziele!$B$5),ROUND(MAX(0,MIN(MAX(0,ROUND(Ziele!C11-C125,2)),IF(Ziele!E11="",MAX(0,ROUND(Ziele!C11-C125,2)),Ziele!E11),K57+B58-C58-SUM(E58:E58))),2),"")</f>
        <v/>
      </c>
      <c r="G58" s="7" t="str">
        <f aca="false">IF(AND(Ziele!$B$18="Plan bereit",52&lt;=Ziele!$B$5),ROUND(MAX(0,MIN(MAX(0,ROUND(Ziele!C12-D125,2)),IF(Ziele!E12="",MAX(0,ROUND(Ziele!C12-D125,2)),Ziele!E12),K57+B58-C58-SUM(E58:F58))),2),"")</f>
        <v/>
      </c>
      <c r="H58" s="7" t="str">
        <f aca="false">IF(AND(Ziele!$B$18="Plan bereit",52&lt;=Ziele!$B$5),ROUND(MAX(0,MIN(MAX(0,ROUND(Ziele!C13-E125,2)),IF(Ziele!E13="",MAX(0,ROUND(Ziele!C13-E125,2)),Ziele!E13),K57+B58-C58-SUM(E58:G58))),2),"")</f>
        <v/>
      </c>
      <c r="I58" s="7" t="str">
        <f aca="false">IF(AND(Ziele!$B$18="Plan bereit",52&lt;=Ziele!$B$5),ROUND(MAX(0,MIN(MAX(0,ROUND(Ziele!C14-F125,2)),IF(Ziele!E14="",MAX(0,ROUND(Ziele!C14-F125,2)),Ziele!E14),K57+B58-C58-SUM(E58:H58))),2),"")</f>
        <v/>
      </c>
      <c r="J58" s="7" t="str">
        <f aca="false">IF(AND(Ziele!$B$18="Plan bereit",52&lt;=Ziele!$B$5),ROUND(MAX(0,MIN(MAX(0,ROUND(Ziele!C15-G125,2)),IF(Ziele!E15="",MAX(0,ROUND(Ziele!C15-G125,2)),Ziele!E15),K57+B58-C58-SUM(E58:I58))),2),"")</f>
        <v/>
      </c>
      <c r="K58" s="7" t="str">
        <f aca="false">IF(AND(Ziele!$B$18="Plan bereit",52&lt;=Ziele!$B$5),ROUND(K57+B58-C58-SUM(E58:J58),2),"")</f>
        <v/>
      </c>
      <c r="L58" s="7" t="str">
        <f aca="false">IF(AND(Ziele!$B$18="Plan bereit",52&lt;=Ziele!$B$5),ROUND(Ziele!$B$4+SUM(B$7:B58)-SUM(C$7:C58)-H126-K58-Ziele!$B$21,2),"")</f>
        <v/>
      </c>
    </row>
    <row r="59" customFormat="false" ht="22.5" hidden="false" customHeight="true" outlineLevel="0" collapsed="false">
      <c r="A59" s="6" t="str">
        <f aca="false">IF(AND(Ziele!$B$18="Plan bereit",53&lt;=Ziele!$B$5),53,"")</f>
        <v/>
      </c>
      <c r="B59" s="7" t="str">
        <f aca="false">IF(AND(Ziele!$B$18="Plan bereit",53&lt;=Ziele!$B$5),Budgets!E62,"")</f>
        <v/>
      </c>
      <c r="C59" s="7" t="str">
        <f aca="false">IF(AND(Ziele!$B$18="Plan bereit",53&lt;=Ziele!$B$5),ROUND(MIN(Budgets!F62,K58+B59),2),"")</f>
        <v/>
      </c>
      <c r="D59" s="7" t="str">
        <f aca="false">IF(AND(Ziele!$B$18="Plan bereit",53&lt;=Ziele!$B$5),ROUND(Budgets!F62-C59,2),"")</f>
        <v/>
      </c>
      <c r="E59" s="7" t="str">
        <f aca="false">IF(AND(Ziele!$B$18="Plan bereit",53&lt;=Ziele!$B$5),ROUND(MAX(0,MIN(MAX(0,ROUND(Ziele!C10-B126,2)),IF(Ziele!E10="",MAX(0,ROUND(Ziele!C10-B126,2)),Ziele!E10),K58+B59-C59-0)),2),"")</f>
        <v/>
      </c>
      <c r="F59" s="7" t="str">
        <f aca="false">IF(AND(Ziele!$B$18="Plan bereit",53&lt;=Ziele!$B$5),ROUND(MAX(0,MIN(MAX(0,ROUND(Ziele!C11-C126,2)),IF(Ziele!E11="",MAX(0,ROUND(Ziele!C11-C126,2)),Ziele!E11),K58+B59-C59-SUM(E59:E59))),2),"")</f>
        <v/>
      </c>
      <c r="G59" s="7" t="str">
        <f aca="false">IF(AND(Ziele!$B$18="Plan bereit",53&lt;=Ziele!$B$5),ROUND(MAX(0,MIN(MAX(0,ROUND(Ziele!C12-D126,2)),IF(Ziele!E12="",MAX(0,ROUND(Ziele!C12-D126,2)),Ziele!E12),K58+B59-C59-SUM(E59:F59))),2),"")</f>
        <v/>
      </c>
      <c r="H59" s="7" t="str">
        <f aca="false">IF(AND(Ziele!$B$18="Plan bereit",53&lt;=Ziele!$B$5),ROUND(MAX(0,MIN(MAX(0,ROUND(Ziele!C13-E126,2)),IF(Ziele!E13="",MAX(0,ROUND(Ziele!C13-E126,2)),Ziele!E13),K58+B59-C59-SUM(E59:G59))),2),"")</f>
        <v/>
      </c>
      <c r="I59" s="7" t="str">
        <f aca="false">IF(AND(Ziele!$B$18="Plan bereit",53&lt;=Ziele!$B$5),ROUND(MAX(0,MIN(MAX(0,ROUND(Ziele!C14-F126,2)),IF(Ziele!E14="",MAX(0,ROUND(Ziele!C14-F126,2)),Ziele!E14),K58+B59-C59-SUM(E59:H59))),2),"")</f>
        <v/>
      </c>
      <c r="J59" s="7" t="str">
        <f aca="false">IF(AND(Ziele!$B$18="Plan bereit",53&lt;=Ziele!$B$5),ROUND(MAX(0,MIN(MAX(0,ROUND(Ziele!C15-G126,2)),IF(Ziele!E15="",MAX(0,ROUND(Ziele!C15-G126,2)),Ziele!E15),K58+B59-C59-SUM(E59:I59))),2),"")</f>
        <v/>
      </c>
      <c r="K59" s="7" t="str">
        <f aca="false">IF(AND(Ziele!$B$18="Plan bereit",53&lt;=Ziele!$B$5),ROUND(K58+B59-C59-SUM(E59:J59),2),"")</f>
        <v/>
      </c>
      <c r="L59" s="7" t="str">
        <f aca="false">IF(AND(Ziele!$B$18="Plan bereit",53&lt;=Ziele!$B$5),ROUND(Ziele!$B$4+SUM(B$7:B59)-SUM(C$7:C59)-H127-K59-Ziele!$B$21,2),"")</f>
        <v/>
      </c>
    </row>
    <row r="60" customFormat="false" ht="22.5" hidden="false" customHeight="true" outlineLevel="0" collapsed="false">
      <c r="A60" s="6" t="str">
        <f aca="false">IF(AND(Ziele!$B$18="Plan bereit",54&lt;=Ziele!$B$5),54,"")</f>
        <v/>
      </c>
      <c r="B60" s="7" t="str">
        <f aca="false">IF(AND(Ziele!$B$18="Plan bereit",54&lt;=Ziele!$B$5),Budgets!E63,"")</f>
        <v/>
      </c>
      <c r="C60" s="7" t="str">
        <f aca="false">IF(AND(Ziele!$B$18="Plan bereit",54&lt;=Ziele!$B$5),ROUND(MIN(Budgets!F63,K59+B60),2),"")</f>
        <v/>
      </c>
      <c r="D60" s="7" t="str">
        <f aca="false">IF(AND(Ziele!$B$18="Plan bereit",54&lt;=Ziele!$B$5),ROUND(Budgets!F63-C60,2),"")</f>
        <v/>
      </c>
      <c r="E60" s="7" t="str">
        <f aca="false">IF(AND(Ziele!$B$18="Plan bereit",54&lt;=Ziele!$B$5),ROUND(MAX(0,MIN(MAX(0,ROUND(Ziele!C10-B127,2)),IF(Ziele!E10="",MAX(0,ROUND(Ziele!C10-B127,2)),Ziele!E10),K59+B60-C60-0)),2),"")</f>
        <v/>
      </c>
      <c r="F60" s="7" t="str">
        <f aca="false">IF(AND(Ziele!$B$18="Plan bereit",54&lt;=Ziele!$B$5),ROUND(MAX(0,MIN(MAX(0,ROUND(Ziele!C11-C127,2)),IF(Ziele!E11="",MAX(0,ROUND(Ziele!C11-C127,2)),Ziele!E11),K59+B60-C60-SUM(E60:E60))),2),"")</f>
        <v/>
      </c>
      <c r="G60" s="7" t="str">
        <f aca="false">IF(AND(Ziele!$B$18="Plan bereit",54&lt;=Ziele!$B$5),ROUND(MAX(0,MIN(MAX(0,ROUND(Ziele!C12-D127,2)),IF(Ziele!E12="",MAX(0,ROUND(Ziele!C12-D127,2)),Ziele!E12),K59+B60-C60-SUM(E60:F60))),2),"")</f>
        <v/>
      </c>
      <c r="H60" s="7" t="str">
        <f aca="false">IF(AND(Ziele!$B$18="Plan bereit",54&lt;=Ziele!$B$5),ROUND(MAX(0,MIN(MAX(0,ROUND(Ziele!C13-E127,2)),IF(Ziele!E13="",MAX(0,ROUND(Ziele!C13-E127,2)),Ziele!E13),K59+B60-C60-SUM(E60:G60))),2),"")</f>
        <v/>
      </c>
      <c r="I60" s="7" t="str">
        <f aca="false">IF(AND(Ziele!$B$18="Plan bereit",54&lt;=Ziele!$B$5),ROUND(MAX(0,MIN(MAX(0,ROUND(Ziele!C14-F127,2)),IF(Ziele!E14="",MAX(0,ROUND(Ziele!C14-F127,2)),Ziele!E14),K59+B60-C60-SUM(E60:H60))),2),"")</f>
        <v/>
      </c>
      <c r="J60" s="7" t="str">
        <f aca="false">IF(AND(Ziele!$B$18="Plan bereit",54&lt;=Ziele!$B$5),ROUND(MAX(0,MIN(MAX(0,ROUND(Ziele!C15-G127,2)),IF(Ziele!E15="",MAX(0,ROUND(Ziele!C15-G127,2)),Ziele!E15),K59+B60-C60-SUM(E60:I60))),2),"")</f>
        <v/>
      </c>
      <c r="K60" s="7" t="str">
        <f aca="false">IF(AND(Ziele!$B$18="Plan bereit",54&lt;=Ziele!$B$5),ROUND(K59+B60-C60-SUM(E60:J60),2),"")</f>
        <v/>
      </c>
      <c r="L60" s="7" t="str">
        <f aca="false">IF(AND(Ziele!$B$18="Plan bereit",54&lt;=Ziele!$B$5),ROUND(Ziele!$B$4+SUM(B$7:B60)-SUM(C$7:C60)-H128-K60-Ziele!$B$21,2),"")</f>
        <v/>
      </c>
    </row>
    <row r="61" customFormat="false" ht="22.5" hidden="false" customHeight="true" outlineLevel="0" collapsed="false">
      <c r="A61" s="6" t="str">
        <f aca="false">IF(AND(Ziele!$B$18="Plan bereit",55&lt;=Ziele!$B$5),55,"")</f>
        <v/>
      </c>
      <c r="B61" s="7" t="str">
        <f aca="false">IF(AND(Ziele!$B$18="Plan bereit",55&lt;=Ziele!$B$5),Budgets!E64,"")</f>
        <v/>
      </c>
      <c r="C61" s="7" t="str">
        <f aca="false">IF(AND(Ziele!$B$18="Plan bereit",55&lt;=Ziele!$B$5),ROUND(MIN(Budgets!F64,K60+B61),2),"")</f>
        <v/>
      </c>
      <c r="D61" s="7" t="str">
        <f aca="false">IF(AND(Ziele!$B$18="Plan bereit",55&lt;=Ziele!$B$5),ROUND(Budgets!F64-C61,2),"")</f>
        <v/>
      </c>
      <c r="E61" s="7" t="str">
        <f aca="false">IF(AND(Ziele!$B$18="Plan bereit",55&lt;=Ziele!$B$5),ROUND(MAX(0,MIN(MAX(0,ROUND(Ziele!C10-B128,2)),IF(Ziele!E10="",MAX(0,ROUND(Ziele!C10-B128,2)),Ziele!E10),K60+B61-C61-0)),2),"")</f>
        <v/>
      </c>
      <c r="F61" s="7" t="str">
        <f aca="false">IF(AND(Ziele!$B$18="Plan bereit",55&lt;=Ziele!$B$5),ROUND(MAX(0,MIN(MAX(0,ROUND(Ziele!C11-C128,2)),IF(Ziele!E11="",MAX(0,ROUND(Ziele!C11-C128,2)),Ziele!E11),K60+B61-C61-SUM(E61:E61))),2),"")</f>
        <v/>
      </c>
      <c r="G61" s="7" t="str">
        <f aca="false">IF(AND(Ziele!$B$18="Plan bereit",55&lt;=Ziele!$B$5),ROUND(MAX(0,MIN(MAX(0,ROUND(Ziele!C12-D128,2)),IF(Ziele!E12="",MAX(0,ROUND(Ziele!C12-D128,2)),Ziele!E12),K60+B61-C61-SUM(E61:F61))),2),"")</f>
        <v/>
      </c>
      <c r="H61" s="7" t="str">
        <f aca="false">IF(AND(Ziele!$B$18="Plan bereit",55&lt;=Ziele!$B$5),ROUND(MAX(0,MIN(MAX(0,ROUND(Ziele!C13-E128,2)),IF(Ziele!E13="",MAX(0,ROUND(Ziele!C13-E128,2)),Ziele!E13),K60+B61-C61-SUM(E61:G61))),2),"")</f>
        <v/>
      </c>
      <c r="I61" s="7" t="str">
        <f aca="false">IF(AND(Ziele!$B$18="Plan bereit",55&lt;=Ziele!$B$5),ROUND(MAX(0,MIN(MAX(0,ROUND(Ziele!C14-F128,2)),IF(Ziele!E14="",MAX(0,ROUND(Ziele!C14-F128,2)),Ziele!E14),K60+B61-C61-SUM(E61:H61))),2),"")</f>
        <v/>
      </c>
      <c r="J61" s="7" t="str">
        <f aca="false">IF(AND(Ziele!$B$18="Plan bereit",55&lt;=Ziele!$B$5),ROUND(MAX(0,MIN(MAX(0,ROUND(Ziele!C15-G128,2)),IF(Ziele!E15="",MAX(0,ROUND(Ziele!C15-G128,2)),Ziele!E15),K60+B61-C61-SUM(E61:I61))),2),"")</f>
        <v/>
      </c>
      <c r="K61" s="7" t="str">
        <f aca="false">IF(AND(Ziele!$B$18="Plan bereit",55&lt;=Ziele!$B$5),ROUND(K60+B61-C61-SUM(E61:J61),2),"")</f>
        <v/>
      </c>
      <c r="L61" s="7" t="str">
        <f aca="false">IF(AND(Ziele!$B$18="Plan bereit",55&lt;=Ziele!$B$5),ROUND(Ziele!$B$4+SUM(B$7:B61)-SUM(C$7:C61)-H129-K61-Ziele!$B$21,2),"")</f>
        <v/>
      </c>
    </row>
    <row r="62" customFormat="false" ht="22.5" hidden="false" customHeight="true" outlineLevel="0" collapsed="false">
      <c r="A62" s="6" t="str">
        <f aca="false">IF(AND(Ziele!$B$18="Plan bereit",56&lt;=Ziele!$B$5),56,"")</f>
        <v/>
      </c>
      <c r="B62" s="7" t="str">
        <f aca="false">IF(AND(Ziele!$B$18="Plan bereit",56&lt;=Ziele!$B$5),Budgets!E65,"")</f>
        <v/>
      </c>
      <c r="C62" s="7" t="str">
        <f aca="false">IF(AND(Ziele!$B$18="Plan bereit",56&lt;=Ziele!$B$5),ROUND(MIN(Budgets!F65,K61+B62),2),"")</f>
        <v/>
      </c>
      <c r="D62" s="7" t="str">
        <f aca="false">IF(AND(Ziele!$B$18="Plan bereit",56&lt;=Ziele!$B$5),ROUND(Budgets!F65-C62,2),"")</f>
        <v/>
      </c>
      <c r="E62" s="7" t="str">
        <f aca="false">IF(AND(Ziele!$B$18="Plan bereit",56&lt;=Ziele!$B$5),ROUND(MAX(0,MIN(MAX(0,ROUND(Ziele!C10-B129,2)),IF(Ziele!E10="",MAX(0,ROUND(Ziele!C10-B129,2)),Ziele!E10),K61+B62-C62-0)),2),"")</f>
        <v/>
      </c>
      <c r="F62" s="7" t="str">
        <f aca="false">IF(AND(Ziele!$B$18="Plan bereit",56&lt;=Ziele!$B$5),ROUND(MAX(0,MIN(MAX(0,ROUND(Ziele!C11-C129,2)),IF(Ziele!E11="",MAX(0,ROUND(Ziele!C11-C129,2)),Ziele!E11),K61+B62-C62-SUM(E62:E62))),2),"")</f>
        <v/>
      </c>
      <c r="G62" s="7" t="str">
        <f aca="false">IF(AND(Ziele!$B$18="Plan bereit",56&lt;=Ziele!$B$5),ROUND(MAX(0,MIN(MAX(0,ROUND(Ziele!C12-D129,2)),IF(Ziele!E12="",MAX(0,ROUND(Ziele!C12-D129,2)),Ziele!E12),K61+B62-C62-SUM(E62:F62))),2),"")</f>
        <v/>
      </c>
      <c r="H62" s="7" t="str">
        <f aca="false">IF(AND(Ziele!$B$18="Plan bereit",56&lt;=Ziele!$B$5),ROUND(MAX(0,MIN(MAX(0,ROUND(Ziele!C13-E129,2)),IF(Ziele!E13="",MAX(0,ROUND(Ziele!C13-E129,2)),Ziele!E13),K61+B62-C62-SUM(E62:G62))),2),"")</f>
        <v/>
      </c>
      <c r="I62" s="7" t="str">
        <f aca="false">IF(AND(Ziele!$B$18="Plan bereit",56&lt;=Ziele!$B$5),ROUND(MAX(0,MIN(MAX(0,ROUND(Ziele!C14-F129,2)),IF(Ziele!E14="",MAX(0,ROUND(Ziele!C14-F129,2)),Ziele!E14),K61+B62-C62-SUM(E62:H62))),2),"")</f>
        <v/>
      </c>
      <c r="J62" s="7" t="str">
        <f aca="false">IF(AND(Ziele!$B$18="Plan bereit",56&lt;=Ziele!$B$5),ROUND(MAX(0,MIN(MAX(0,ROUND(Ziele!C15-G129,2)),IF(Ziele!E15="",MAX(0,ROUND(Ziele!C15-G129,2)),Ziele!E15),K61+B62-C62-SUM(E62:I62))),2),"")</f>
        <v/>
      </c>
      <c r="K62" s="7" t="str">
        <f aca="false">IF(AND(Ziele!$B$18="Plan bereit",56&lt;=Ziele!$B$5),ROUND(K61+B62-C62-SUM(E62:J62),2),"")</f>
        <v/>
      </c>
      <c r="L62" s="7" t="str">
        <f aca="false">IF(AND(Ziele!$B$18="Plan bereit",56&lt;=Ziele!$B$5),ROUND(Ziele!$B$4+SUM(B$7:B62)-SUM(C$7:C62)-H130-K62-Ziele!$B$21,2),"")</f>
        <v/>
      </c>
    </row>
    <row r="63" customFormat="false" ht="22.5" hidden="false" customHeight="true" outlineLevel="0" collapsed="false">
      <c r="A63" s="6" t="str">
        <f aca="false">IF(AND(Ziele!$B$18="Plan bereit",57&lt;=Ziele!$B$5),57,"")</f>
        <v/>
      </c>
      <c r="B63" s="7" t="str">
        <f aca="false">IF(AND(Ziele!$B$18="Plan bereit",57&lt;=Ziele!$B$5),Budgets!E66,"")</f>
        <v/>
      </c>
      <c r="C63" s="7" t="str">
        <f aca="false">IF(AND(Ziele!$B$18="Plan bereit",57&lt;=Ziele!$B$5),ROUND(MIN(Budgets!F66,K62+B63),2),"")</f>
        <v/>
      </c>
      <c r="D63" s="7" t="str">
        <f aca="false">IF(AND(Ziele!$B$18="Plan bereit",57&lt;=Ziele!$B$5),ROUND(Budgets!F66-C63,2),"")</f>
        <v/>
      </c>
      <c r="E63" s="7" t="str">
        <f aca="false">IF(AND(Ziele!$B$18="Plan bereit",57&lt;=Ziele!$B$5),ROUND(MAX(0,MIN(MAX(0,ROUND(Ziele!C10-B130,2)),IF(Ziele!E10="",MAX(0,ROUND(Ziele!C10-B130,2)),Ziele!E10),K62+B63-C63-0)),2),"")</f>
        <v/>
      </c>
      <c r="F63" s="7" t="str">
        <f aca="false">IF(AND(Ziele!$B$18="Plan bereit",57&lt;=Ziele!$B$5),ROUND(MAX(0,MIN(MAX(0,ROUND(Ziele!C11-C130,2)),IF(Ziele!E11="",MAX(0,ROUND(Ziele!C11-C130,2)),Ziele!E11),K62+B63-C63-SUM(E63:E63))),2),"")</f>
        <v/>
      </c>
      <c r="G63" s="7" t="str">
        <f aca="false">IF(AND(Ziele!$B$18="Plan bereit",57&lt;=Ziele!$B$5),ROUND(MAX(0,MIN(MAX(0,ROUND(Ziele!C12-D130,2)),IF(Ziele!E12="",MAX(0,ROUND(Ziele!C12-D130,2)),Ziele!E12),K62+B63-C63-SUM(E63:F63))),2),"")</f>
        <v/>
      </c>
      <c r="H63" s="7" t="str">
        <f aca="false">IF(AND(Ziele!$B$18="Plan bereit",57&lt;=Ziele!$B$5),ROUND(MAX(0,MIN(MAX(0,ROUND(Ziele!C13-E130,2)),IF(Ziele!E13="",MAX(0,ROUND(Ziele!C13-E130,2)),Ziele!E13),K62+B63-C63-SUM(E63:G63))),2),"")</f>
        <v/>
      </c>
      <c r="I63" s="7" t="str">
        <f aca="false">IF(AND(Ziele!$B$18="Plan bereit",57&lt;=Ziele!$B$5),ROUND(MAX(0,MIN(MAX(0,ROUND(Ziele!C14-F130,2)),IF(Ziele!E14="",MAX(0,ROUND(Ziele!C14-F130,2)),Ziele!E14),K62+B63-C63-SUM(E63:H63))),2),"")</f>
        <v/>
      </c>
      <c r="J63" s="7" t="str">
        <f aca="false">IF(AND(Ziele!$B$18="Plan bereit",57&lt;=Ziele!$B$5),ROUND(MAX(0,MIN(MAX(0,ROUND(Ziele!C15-G130,2)),IF(Ziele!E15="",MAX(0,ROUND(Ziele!C15-G130,2)),Ziele!E15),K62+B63-C63-SUM(E63:I63))),2),"")</f>
        <v/>
      </c>
      <c r="K63" s="7" t="str">
        <f aca="false">IF(AND(Ziele!$B$18="Plan bereit",57&lt;=Ziele!$B$5),ROUND(K62+B63-C63-SUM(E63:J63),2),"")</f>
        <v/>
      </c>
      <c r="L63" s="7" t="str">
        <f aca="false">IF(AND(Ziele!$B$18="Plan bereit",57&lt;=Ziele!$B$5),ROUND(Ziele!$B$4+SUM(B$7:B63)-SUM(C$7:C63)-H131-K63-Ziele!$B$21,2),"")</f>
        <v/>
      </c>
    </row>
    <row r="64" customFormat="false" ht="22.5" hidden="false" customHeight="true" outlineLevel="0" collapsed="false">
      <c r="A64" s="6" t="str">
        <f aca="false">IF(AND(Ziele!$B$18="Plan bereit",58&lt;=Ziele!$B$5),58,"")</f>
        <v/>
      </c>
      <c r="B64" s="7" t="str">
        <f aca="false">IF(AND(Ziele!$B$18="Plan bereit",58&lt;=Ziele!$B$5),Budgets!E67,"")</f>
        <v/>
      </c>
      <c r="C64" s="7" t="str">
        <f aca="false">IF(AND(Ziele!$B$18="Plan bereit",58&lt;=Ziele!$B$5),ROUND(MIN(Budgets!F67,K63+B64),2),"")</f>
        <v/>
      </c>
      <c r="D64" s="7" t="str">
        <f aca="false">IF(AND(Ziele!$B$18="Plan bereit",58&lt;=Ziele!$B$5),ROUND(Budgets!F67-C64,2),"")</f>
        <v/>
      </c>
      <c r="E64" s="7" t="str">
        <f aca="false">IF(AND(Ziele!$B$18="Plan bereit",58&lt;=Ziele!$B$5),ROUND(MAX(0,MIN(MAX(0,ROUND(Ziele!C10-B131,2)),IF(Ziele!E10="",MAX(0,ROUND(Ziele!C10-B131,2)),Ziele!E10),K63+B64-C64-0)),2),"")</f>
        <v/>
      </c>
      <c r="F64" s="7" t="str">
        <f aca="false">IF(AND(Ziele!$B$18="Plan bereit",58&lt;=Ziele!$B$5),ROUND(MAX(0,MIN(MAX(0,ROUND(Ziele!C11-C131,2)),IF(Ziele!E11="",MAX(0,ROUND(Ziele!C11-C131,2)),Ziele!E11),K63+B64-C64-SUM(E64:E64))),2),"")</f>
        <v/>
      </c>
      <c r="G64" s="7" t="str">
        <f aca="false">IF(AND(Ziele!$B$18="Plan bereit",58&lt;=Ziele!$B$5),ROUND(MAX(0,MIN(MAX(0,ROUND(Ziele!C12-D131,2)),IF(Ziele!E12="",MAX(0,ROUND(Ziele!C12-D131,2)),Ziele!E12),K63+B64-C64-SUM(E64:F64))),2),"")</f>
        <v/>
      </c>
      <c r="H64" s="7" t="str">
        <f aca="false">IF(AND(Ziele!$B$18="Plan bereit",58&lt;=Ziele!$B$5),ROUND(MAX(0,MIN(MAX(0,ROUND(Ziele!C13-E131,2)),IF(Ziele!E13="",MAX(0,ROUND(Ziele!C13-E131,2)),Ziele!E13),K63+B64-C64-SUM(E64:G64))),2),"")</f>
        <v/>
      </c>
      <c r="I64" s="7" t="str">
        <f aca="false">IF(AND(Ziele!$B$18="Plan bereit",58&lt;=Ziele!$B$5),ROUND(MAX(0,MIN(MAX(0,ROUND(Ziele!C14-F131,2)),IF(Ziele!E14="",MAX(0,ROUND(Ziele!C14-F131,2)),Ziele!E14),K63+B64-C64-SUM(E64:H64))),2),"")</f>
        <v/>
      </c>
      <c r="J64" s="7" t="str">
        <f aca="false">IF(AND(Ziele!$B$18="Plan bereit",58&lt;=Ziele!$B$5),ROUND(MAX(0,MIN(MAX(0,ROUND(Ziele!C15-G131,2)),IF(Ziele!E15="",MAX(0,ROUND(Ziele!C15-G131,2)),Ziele!E15),K63+B64-C64-SUM(E64:I64))),2),"")</f>
        <v/>
      </c>
      <c r="K64" s="7" t="str">
        <f aca="false">IF(AND(Ziele!$B$18="Plan bereit",58&lt;=Ziele!$B$5),ROUND(K63+B64-C64-SUM(E64:J64),2),"")</f>
        <v/>
      </c>
      <c r="L64" s="7" t="str">
        <f aca="false">IF(AND(Ziele!$B$18="Plan bereit",58&lt;=Ziele!$B$5),ROUND(Ziele!$B$4+SUM(B$7:B64)-SUM(C$7:C64)-H132-K64-Ziele!$B$21,2),"")</f>
        <v/>
      </c>
    </row>
    <row r="65" customFormat="false" ht="22.5" hidden="false" customHeight="true" outlineLevel="0" collapsed="false">
      <c r="A65" s="6" t="str">
        <f aca="false">IF(AND(Ziele!$B$18="Plan bereit",59&lt;=Ziele!$B$5),59,"")</f>
        <v/>
      </c>
      <c r="B65" s="7" t="str">
        <f aca="false">IF(AND(Ziele!$B$18="Plan bereit",59&lt;=Ziele!$B$5),Budgets!E68,"")</f>
        <v/>
      </c>
      <c r="C65" s="7" t="str">
        <f aca="false">IF(AND(Ziele!$B$18="Plan bereit",59&lt;=Ziele!$B$5),ROUND(MIN(Budgets!F68,K64+B65),2),"")</f>
        <v/>
      </c>
      <c r="D65" s="7" t="str">
        <f aca="false">IF(AND(Ziele!$B$18="Plan bereit",59&lt;=Ziele!$B$5),ROUND(Budgets!F68-C65,2),"")</f>
        <v/>
      </c>
      <c r="E65" s="7" t="str">
        <f aca="false">IF(AND(Ziele!$B$18="Plan bereit",59&lt;=Ziele!$B$5),ROUND(MAX(0,MIN(MAX(0,ROUND(Ziele!C10-B132,2)),IF(Ziele!E10="",MAX(0,ROUND(Ziele!C10-B132,2)),Ziele!E10),K64+B65-C65-0)),2),"")</f>
        <v/>
      </c>
      <c r="F65" s="7" t="str">
        <f aca="false">IF(AND(Ziele!$B$18="Plan bereit",59&lt;=Ziele!$B$5),ROUND(MAX(0,MIN(MAX(0,ROUND(Ziele!C11-C132,2)),IF(Ziele!E11="",MAX(0,ROUND(Ziele!C11-C132,2)),Ziele!E11),K64+B65-C65-SUM(E65:E65))),2),"")</f>
        <v/>
      </c>
      <c r="G65" s="7" t="str">
        <f aca="false">IF(AND(Ziele!$B$18="Plan bereit",59&lt;=Ziele!$B$5),ROUND(MAX(0,MIN(MAX(0,ROUND(Ziele!C12-D132,2)),IF(Ziele!E12="",MAX(0,ROUND(Ziele!C12-D132,2)),Ziele!E12),K64+B65-C65-SUM(E65:F65))),2),"")</f>
        <v/>
      </c>
      <c r="H65" s="7" t="str">
        <f aca="false">IF(AND(Ziele!$B$18="Plan bereit",59&lt;=Ziele!$B$5),ROUND(MAX(0,MIN(MAX(0,ROUND(Ziele!C13-E132,2)),IF(Ziele!E13="",MAX(0,ROUND(Ziele!C13-E132,2)),Ziele!E13),K64+B65-C65-SUM(E65:G65))),2),"")</f>
        <v/>
      </c>
      <c r="I65" s="7" t="str">
        <f aca="false">IF(AND(Ziele!$B$18="Plan bereit",59&lt;=Ziele!$B$5),ROUND(MAX(0,MIN(MAX(0,ROUND(Ziele!C14-F132,2)),IF(Ziele!E14="",MAX(0,ROUND(Ziele!C14-F132,2)),Ziele!E14),K64+B65-C65-SUM(E65:H65))),2),"")</f>
        <v/>
      </c>
      <c r="J65" s="7" t="str">
        <f aca="false">IF(AND(Ziele!$B$18="Plan bereit",59&lt;=Ziele!$B$5),ROUND(MAX(0,MIN(MAX(0,ROUND(Ziele!C15-G132,2)),IF(Ziele!E15="",MAX(0,ROUND(Ziele!C15-G132,2)),Ziele!E15),K64+B65-C65-SUM(E65:I65))),2),"")</f>
        <v/>
      </c>
      <c r="K65" s="7" t="str">
        <f aca="false">IF(AND(Ziele!$B$18="Plan bereit",59&lt;=Ziele!$B$5),ROUND(K64+B65-C65-SUM(E65:J65),2),"")</f>
        <v/>
      </c>
      <c r="L65" s="7" t="str">
        <f aca="false">IF(AND(Ziele!$B$18="Plan bereit",59&lt;=Ziele!$B$5),ROUND(Ziele!$B$4+SUM(B$7:B65)-SUM(C$7:C65)-H133-K65-Ziele!$B$21,2),"")</f>
        <v/>
      </c>
    </row>
    <row r="66" customFormat="false" ht="22.5" hidden="false" customHeight="true" outlineLevel="0" collapsed="false">
      <c r="A66" s="6" t="str">
        <f aca="false">IF(AND(Ziele!$B$18="Plan bereit",60&lt;=Ziele!$B$5),60,"")</f>
        <v/>
      </c>
      <c r="B66" s="7" t="str">
        <f aca="false">IF(AND(Ziele!$B$18="Plan bereit",60&lt;=Ziele!$B$5),Budgets!E69,"")</f>
        <v/>
      </c>
      <c r="C66" s="7" t="str">
        <f aca="false">IF(AND(Ziele!$B$18="Plan bereit",60&lt;=Ziele!$B$5),ROUND(MIN(Budgets!F69,K65+B66),2),"")</f>
        <v/>
      </c>
      <c r="D66" s="7" t="str">
        <f aca="false">IF(AND(Ziele!$B$18="Plan bereit",60&lt;=Ziele!$B$5),ROUND(Budgets!F69-C66,2),"")</f>
        <v/>
      </c>
      <c r="E66" s="7" t="str">
        <f aca="false">IF(AND(Ziele!$B$18="Plan bereit",60&lt;=Ziele!$B$5),ROUND(MAX(0,MIN(MAX(0,ROUND(Ziele!C10-B133,2)),IF(Ziele!E10="",MAX(0,ROUND(Ziele!C10-B133,2)),Ziele!E10),K65+B66-C66-0)),2),"")</f>
        <v/>
      </c>
      <c r="F66" s="7" t="str">
        <f aca="false">IF(AND(Ziele!$B$18="Plan bereit",60&lt;=Ziele!$B$5),ROUND(MAX(0,MIN(MAX(0,ROUND(Ziele!C11-C133,2)),IF(Ziele!E11="",MAX(0,ROUND(Ziele!C11-C133,2)),Ziele!E11),K65+B66-C66-SUM(E66:E66))),2),"")</f>
        <v/>
      </c>
      <c r="G66" s="7" t="str">
        <f aca="false">IF(AND(Ziele!$B$18="Plan bereit",60&lt;=Ziele!$B$5),ROUND(MAX(0,MIN(MAX(0,ROUND(Ziele!C12-D133,2)),IF(Ziele!E12="",MAX(0,ROUND(Ziele!C12-D133,2)),Ziele!E12),K65+B66-C66-SUM(E66:F66))),2),"")</f>
        <v/>
      </c>
      <c r="H66" s="7" t="str">
        <f aca="false">IF(AND(Ziele!$B$18="Plan bereit",60&lt;=Ziele!$B$5),ROUND(MAX(0,MIN(MAX(0,ROUND(Ziele!C13-E133,2)),IF(Ziele!E13="",MAX(0,ROUND(Ziele!C13-E133,2)),Ziele!E13),K65+B66-C66-SUM(E66:G66))),2),"")</f>
        <v/>
      </c>
      <c r="I66" s="7" t="str">
        <f aca="false">IF(AND(Ziele!$B$18="Plan bereit",60&lt;=Ziele!$B$5),ROUND(MAX(0,MIN(MAX(0,ROUND(Ziele!C14-F133,2)),IF(Ziele!E14="",MAX(0,ROUND(Ziele!C14-F133,2)),Ziele!E14),K65+B66-C66-SUM(E66:H66))),2),"")</f>
        <v/>
      </c>
      <c r="J66" s="7" t="str">
        <f aca="false">IF(AND(Ziele!$B$18="Plan bereit",60&lt;=Ziele!$B$5),ROUND(MAX(0,MIN(MAX(0,ROUND(Ziele!C15-G133,2)),IF(Ziele!E15="",MAX(0,ROUND(Ziele!C15-G133,2)),Ziele!E15),K65+B66-C66-SUM(E66:I66))),2),"")</f>
        <v/>
      </c>
      <c r="K66" s="7" t="str">
        <f aca="false">IF(AND(Ziele!$B$18="Plan bereit",60&lt;=Ziele!$B$5),ROUND(K65+B66-C66-SUM(E66:J66),2),"")</f>
        <v/>
      </c>
      <c r="L66" s="7" t="str">
        <f aca="false">IF(AND(Ziele!$B$18="Plan bereit",60&lt;=Ziele!$B$5),ROUND(Ziele!$B$4+SUM(B$7:B66)-SUM(C$7:C66)-H134-K66-Ziele!$B$21,2),"")</f>
        <v/>
      </c>
    </row>
    <row r="74" customFormat="false" ht="33.75" hidden="false" customHeight="true" outlineLevel="0" collapsed="false">
      <c r="A74" s="5" t="s">
        <v>30</v>
      </c>
      <c r="B74" s="5" t="str">
        <f aca="false">IF(Ziele!A10="","Ziel 1",Ziele!A10)</f>
        <v>Reserve</v>
      </c>
      <c r="C74" s="5" t="str">
        <f aca="false">IF(Ziele!A11="","Ziel 2",Ziele!A11)</f>
        <v>Eigenkapital</v>
      </c>
      <c r="D74" s="5" t="str">
        <f aca="false">IF(Ziele!A12="","Ziel 3",Ziele!A12)</f>
        <v>Ziel 3</v>
      </c>
      <c r="E74" s="5" t="str">
        <f aca="false">IF(Ziele!A13="","Ziel 4",Ziele!A13)</f>
        <v>Ziel 4</v>
      </c>
      <c r="F74" s="5" t="str">
        <f aca="false">IF(Ziele!A14="","Ziel 5",Ziele!A14)</f>
        <v>Ziel 5</v>
      </c>
      <c r="G74" s="5" t="str">
        <f aca="false">IF(Ziele!A15="","Ziel 6",Ziele!A15)</f>
        <v>Ziel 6</v>
      </c>
      <c r="H74" s="5" t="s">
        <v>63</v>
      </c>
    </row>
    <row r="75" customFormat="false" ht="22.5" hidden="false" customHeight="true" outlineLevel="0" collapsed="false">
      <c r="A75" s="6" t="n">
        <f aca="false">IF(AND(Ziele!$B$18="Plan bereit",1&lt;=Ziele!$B$5),1,"")</f>
        <v>1</v>
      </c>
      <c r="B75" s="7" t="n">
        <f aca="false">IF(AND(Ziele!$B$18="Plan bereit",1&lt;=Ziele!$B$5),ROUND(Ziele!B10+E7,2),"")</f>
        <v>8200</v>
      </c>
      <c r="C75" s="7" t="n">
        <f aca="false">IF(AND(Ziele!$B$18="Plan bereit",1&lt;=Ziele!$B$5),ROUND(Ziele!B11+F7,2),"")</f>
        <v>18150</v>
      </c>
      <c r="D75" s="7" t="n">
        <f aca="false">IF(AND(Ziele!$B$18="Plan bereit",1&lt;=Ziele!$B$5),ROUND(Ziele!B12+G7,2),"")</f>
        <v>0</v>
      </c>
      <c r="E75" s="7" t="n">
        <f aca="false">IF(AND(Ziele!$B$18="Plan bereit",1&lt;=Ziele!$B$5),ROUND(Ziele!B13+H7,2),"")</f>
        <v>0</v>
      </c>
      <c r="F75" s="7" t="n">
        <f aca="false">IF(AND(Ziele!$B$18="Plan bereit",1&lt;=Ziele!$B$5),ROUND(Ziele!B14+I7,2),"")</f>
        <v>0</v>
      </c>
      <c r="G75" s="7" t="n">
        <f aca="false">IF(AND(Ziele!$B$18="Plan bereit",1&lt;=Ziele!$B$5),ROUND(Ziele!B15+J7,2),"")</f>
        <v>0</v>
      </c>
      <c r="H75" s="7" t="n">
        <f aca="false">IF(AND(Ziele!$B$18="Plan bereit",1&lt;=Ziele!$B$5),ROUND(SUM(B75:G75),2),"")</f>
        <v>26350</v>
      </c>
      <c r="I75" s="6" t="str">
        <f aca="false">IF(AND(AND(Ziele!$B$18="Plan bereit",1&lt;=Ziele!$B$5),Ziele!C10&gt;0,B75&gt;=Ziele!C10),1,"")</f>
        <v/>
      </c>
      <c r="J75" s="6" t="str">
        <f aca="false">IF(AND(AND(Ziele!$B$18="Plan bereit",1&lt;=Ziele!$B$5),Ziele!C11&gt;0,C75&gt;=Ziele!C11),1,"")</f>
        <v/>
      </c>
      <c r="K75" s="6" t="str">
        <f aca="false">IF(AND(AND(Ziele!$B$18="Plan bereit",1&lt;=Ziele!$B$5),Ziele!C12&gt;0,D75&gt;=Ziele!C12),1,"")</f>
        <v/>
      </c>
      <c r="L75" s="6" t="str">
        <f aca="false">IF(AND(AND(Ziele!$B$18="Plan bereit",1&lt;=Ziele!$B$5),Ziele!C13&gt;0,E75&gt;=Ziele!C13),1,"")</f>
        <v/>
      </c>
      <c r="M75" s="6" t="str">
        <f aca="false">IF(AND(AND(Ziele!$B$18="Plan bereit",1&lt;=Ziele!$B$5),Ziele!C14&gt;0,F75&gt;=Ziele!C14),1,"")</f>
        <v/>
      </c>
      <c r="N75" s="6" t="str">
        <f aca="false">IF(AND(AND(Ziele!$B$18="Plan bereit",1&lt;=Ziele!$B$5),Ziele!C15&gt;0,G75&gt;=Ziele!C15),1,"")</f>
        <v/>
      </c>
    </row>
    <row r="76" customFormat="false" ht="22.5" hidden="false" customHeight="true" outlineLevel="0" collapsed="false">
      <c r="A76" s="6" t="n">
        <f aca="false">IF(AND(Ziele!$B$18="Plan bereit",2&lt;=Ziele!$B$5),2,"")</f>
        <v>2</v>
      </c>
      <c r="B76" s="7" t="n">
        <f aca="false">IF(AND(Ziele!$B$18="Plan bereit",2&lt;=Ziele!$B$5),ROUND(B75+E8,2),"")</f>
        <v>8400</v>
      </c>
      <c r="C76" s="7" t="n">
        <f aca="false">IF(AND(Ziele!$B$18="Plan bereit",2&lt;=Ziele!$B$5),ROUND(C75+F8,2),"")</f>
        <v>18300</v>
      </c>
      <c r="D76" s="7" t="n">
        <f aca="false">IF(AND(Ziele!$B$18="Plan bereit",2&lt;=Ziele!$B$5),ROUND(D75+G8,2),"")</f>
        <v>0</v>
      </c>
      <c r="E76" s="7" t="n">
        <f aca="false">IF(AND(Ziele!$B$18="Plan bereit",2&lt;=Ziele!$B$5),ROUND(E75+H8,2),"")</f>
        <v>0</v>
      </c>
      <c r="F76" s="7" t="n">
        <f aca="false">IF(AND(Ziele!$B$18="Plan bereit",2&lt;=Ziele!$B$5),ROUND(F75+I8,2),"")</f>
        <v>0</v>
      </c>
      <c r="G76" s="7" t="n">
        <f aca="false">IF(AND(Ziele!$B$18="Plan bereit",2&lt;=Ziele!$B$5),ROUND(G75+J8,2),"")</f>
        <v>0</v>
      </c>
      <c r="H76" s="7" t="n">
        <f aca="false">IF(AND(Ziele!$B$18="Plan bereit",2&lt;=Ziele!$B$5),ROUND(SUM(B76:G76),2),"")</f>
        <v>26700</v>
      </c>
      <c r="I76" s="6" t="str">
        <f aca="false">IF(AND(AND(Ziele!$B$18="Plan bereit",2&lt;=Ziele!$B$5),Ziele!C10&gt;0,B76&gt;=Ziele!C10),2,"")</f>
        <v/>
      </c>
      <c r="J76" s="6" t="str">
        <f aca="false">IF(AND(AND(Ziele!$B$18="Plan bereit",2&lt;=Ziele!$B$5),Ziele!C11&gt;0,C76&gt;=Ziele!C11),2,"")</f>
        <v/>
      </c>
      <c r="K76" s="6" t="str">
        <f aca="false">IF(AND(AND(Ziele!$B$18="Plan bereit",2&lt;=Ziele!$B$5),Ziele!C12&gt;0,D76&gt;=Ziele!C12),2,"")</f>
        <v/>
      </c>
      <c r="L76" s="6" t="str">
        <f aca="false">IF(AND(AND(Ziele!$B$18="Plan bereit",2&lt;=Ziele!$B$5),Ziele!C13&gt;0,E76&gt;=Ziele!C13),2,"")</f>
        <v/>
      </c>
      <c r="M76" s="6" t="str">
        <f aca="false">IF(AND(AND(Ziele!$B$18="Plan bereit",2&lt;=Ziele!$B$5),Ziele!C14&gt;0,F76&gt;=Ziele!C14),2,"")</f>
        <v/>
      </c>
      <c r="N76" s="6" t="str">
        <f aca="false">IF(AND(AND(Ziele!$B$18="Plan bereit",2&lt;=Ziele!$B$5),Ziele!C15&gt;0,G76&gt;=Ziele!C15),2,"")</f>
        <v/>
      </c>
    </row>
    <row r="77" customFormat="false" ht="22.5" hidden="false" customHeight="true" outlineLevel="0" collapsed="false">
      <c r="A77" s="6" t="n">
        <f aca="false">IF(AND(Ziele!$B$18="Plan bereit",3&lt;=Ziele!$B$5),3,"")</f>
        <v>3</v>
      </c>
      <c r="B77" s="7" t="n">
        <f aca="false">IF(AND(Ziele!$B$18="Plan bereit",3&lt;=Ziele!$B$5),ROUND(B76+E9,2),"")</f>
        <v>8600</v>
      </c>
      <c r="C77" s="7" t="n">
        <f aca="false">IF(AND(Ziele!$B$18="Plan bereit",3&lt;=Ziele!$B$5),ROUND(C76+F9,2),"")</f>
        <v>18450</v>
      </c>
      <c r="D77" s="7" t="n">
        <f aca="false">IF(AND(Ziele!$B$18="Plan bereit",3&lt;=Ziele!$B$5),ROUND(D76+G9,2),"")</f>
        <v>0</v>
      </c>
      <c r="E77" s="7" t="n">
        <f aca="false">IF(AND(Ziele!$B$18="Plan bereit",3&lt;=Ziele!$B$5),ROUND(E76+H9,2),"")</f>
        <v>0</v>
      </c>
      <c r="F77" s="7" t="n">
        <f aca="false">IF(AND(Ziele!$B$18="Plan bereit",3&lt;=Ziele!$B$5),ROUND(F76+I9,2),"")</f>
        <v>0</v>
      </c>
      <c r="G77" s="7" t="n">
        <f aca="false">IF(AND(Ziele!$B$18="Plan bereit",3&lt;=Ziele!$B$5),ROUND(G76+J9,2),"")</f>
        <v>0</v>
      </c>
      <c r="H77" s="7" t="n">
        <f aca="false">IF(AND(Ziele!$B$18="Plan bereit",3&lt;=Ziele!$B$5),ROUND(SUM(B77:G77),2),"")</f>
        <v>27050</v>
      </c>
      <c r="I77" s="6" t="str">
        <f aca="false">IF(AND(AND(Ziele!$B$18="Plan bereit",3&lt;=Ziele!$B$5),Ziele!C10&gt;0,B77&gt;=Ziele!C10),3,"")</f>
        <v/>
      </c>
      <c r="J77" s="6" t="str">
        <f aca="false">IF(AND(AND(Ziele!$B$18="Plan bereit",3&lt;=Ziele!$B$5),Ziele!C11&gt;0,C77&gt;=Ziele!C11),3,"")</f>
        <v/>
      </c>
      <c r="K77" s="6" t="str">
        <f aca="false">IF(AND(AND(Ziele!$B$18="Plan bereit",3&lt;=Ziele!$B$5),Ziele!C12&gt;0,D77&gt;=Ziele!C12),3,"")</f>
        <v/>
      </c>
      <c r="L77" s="6" t="str">
        <f aca="false">IF(AND(AND(Ziele!$B$18="Plan bereit",3&lt;=Ziele!$B$5),Ziele!C13&gt;0,E77&gt;=Ziele!C13),3,"")</f>
        <v/>
      </c>
      <c r="M77" s="6" t="str">
        <f aca="false">IF(AND(AND(Ziele!$B$18="Plan bereit",3&lt;=Ziele!$B$5),Ziele!C14&gt;0,F77&gt;=Ziele!C14),3,"")</f>
        <v/>
      </c>
      <c r="N77" s="6" t="str">
        <f aca="false">IF(AND(AND(Ziele!$B$18="Plan bereit",3&lt;=Ziele!$B$5),Ziele!C15&gt;0,G77&gt;=Ziele!C15),3,"")</f>
        <v/>
      </c>
    </row>
    <row r="78" customFormat="false" ht="22.5" hidden="false" customHeight="true" outlineLevel="0" collapsed="false">
      <c r="A78" s="6" t="n">
        <f aca="false">IF(AND(Ziele!$B$18="Plan bereit",4&lt;=Ziele!$B$5),4,"")</f>
        <v>4</v>
      </c>
      <c r="B78" s="7" t="n">
        <f aca="false">IF(AND(Ziele!$B$18="Plan bereit",4&lt;=Ziele!$B$5),ROUND(B77+E10,2),"")</f>
        <v>8800</v>
      </c>
      <c r="C78" s="7" t="n">
        <f aca="false">IF(AND(Ziele!$B$18="Plan bereit",4&lt;=Ziele!$B$5),ROUND(C77+F10,2),"")</f>
        <v>18600</v>
      </c>
      <c r="D78" s="7" t="n">
        <f aca="false">IF(AND(Ziele!$B$18="Plan bereit",4&lt;=Ziele!$B$5),ROUND(D77+G10,2),"")</f>
        <v>0</v>
      </c>
      <c r="E78" s="7" t="n">
        <f aca="false">IF(AND(Ziele!$B$18="Plan bereit",4&lt;=Ziele!$B$5),ROUND(E77+H10,2),"")</f>
        <v>0</v>
      </c>
      <c r="F78" s="7" t="n">
        <f aca="false">IF(AND(Ziele!$B$18="Plan bereit",4&lt;=Ziele!$B$5),ROUND(F77+I10,2),"")</f>
        <v>0</v>
      </c>
      <c r="G78" s="7" t="n">
        <f aca="false">IF(AND(Ziele!$B$18="Plan bereit",4&lt;=Ziele!$B$5),ROUND(G77+J10,2),"")</f>
        <v>0</v>
      </c>
      <c r="H78" s="7" t="n">
        <f aca="false">IF(AND(Ziele!$B$18="Plan bereit",4&lt;=Ziele!$B$5),ROUND(SUM(B78:G78),2),"")</f>
        <v>27400</v>
      </c>
      <c r="I78" s="6" t="str">
        <f aca="false">IF(AND(AND(Ziele!$B$18="Plan bereit",4&lt;=Ziele!$B$5),Ziele!C10&gt;0,B78&gt;=Ziele!C10),4,"")</f>
        <v/>
      </c>
      <c r="J78" s="6" t="str">
        <f aca="false">IF(AND(AND(Ziele!$B$18="Plan bereit",4&lt;=Ziele!$B$5),Ziele!C11&gt;0,C78&gt;=Ziele!C11),4,"")</f>
        <v/>
      </c>
      <c r="K78" s="6" t="str">
        <f aca="false">IF(AND(AND(Ziele!$B$18="Plan bereit",4&lt;=Ziele!$B$5),Ziele!C12&gt;0,D78&gt;=Ziele!C12),4,"")</f>
        <v/>
      </c>
      <c r="L78" s="6" t="str">
        <f aca="false">IF(AND(AND(Ziele!$B$18="Plan bereit",4&lt;=Ziele!$B$5),Ziele!C13&gt;0,E78&gt;=Ziele!C13),4,"")</f>
        <v/>
      </c>
      <c r="M78" s="6" t="str">
        <f aca="false">IF(AND(AND(Ziele!$B$18="Plan bereit",4&lt;=Ziele!$B$5),Ziele!C14&gt;0,F78&gt;=Ziele!C14),4,"")</f>
        <v/>
      </c>
      <c r="N78" s="6" t="str">
        <f aca="false">IF(AND(AND(Ziele!$B$18="Plan bereit",4&lt;=Ziele!$B$5),Ziele!C15&gt;0,G78&gt;=Ziele!C15),4,"")</f>
        <v/>
      </c>
    </row>
    <row r="79" customFormat="false" ht="22.5" hidden="false" customHeight="true" outlineLevel="0" collapsed="false">
      <c r="A79" s="6" t="n">
        <f aca="false">IF(AND(Ziele!$B$18="Plan bereit",5&lt;=Ziele!$B$5),5,"")</f>
        <v>5</v>
      </c>
      <c r="B79" s="7" t="n">
        <f aca="false">IF(AND(Ziele!$B$18="Plan bereit",5&lt;=Ziele!$B$5),ROUND(B78+E11,2),"")</f>
        <v>9000</v>
      </c>
      <c r="C79" s="7" t="n">
        <f aca="false">IF(AND(Ziele!$B$18="Plan bereit",5&lt;=Ziele!$B$5),ROUND(C78+F11,2),"")</f>
        <v>18750</v>
      </c>
      <c r="D79" s="7" t="n">
        <f aca="false">IF(AND(Ziele!$B$18="Plan bereit",5&lt;=Ziele!$B$5),ROUND(D78+G11,2),"")</f>
        <v>0</v>
      </c>
      <c r="E79" s="7" t="n">
        <f aca="false">IF(AND(Ziele!$B$18="Plan bereit",5&lt;=Ziele!$B$5),ROUND(E78+H11,2),"")</f>
        <v>0</v>
      </c>
      <c r="F79" s="7" t="n">
        <f aca="false">IF(AND(Ziele!$B$18="Plan bereit",5&lt;=Ziele!$B$5),ROUND(F78+I11,2),"")</f>
        <v>0</v>
      </c>
      <c r="G79" s="7" t="n">
        <f aca="false">IF(AND(Ziele!$B$18="Plan bereit",5&lt;=Ziele!$B$5),ROUND(G78+J11,2),"")</f>
        <v>0</v>
      </c>
      <c r="H79" s="7" t="n">
        <f aca="false">IF(AND(Ziele!$B$18="Plan bereit",5&lt;=Ziele!$B$5),ROUND(SUM(B79:G79),2),"")</f>
        <v>27750</v>
      </c>
      <c r="I79" s="6" t="str">
        <f aca="false">IF(AND(AND(Ziele!$B$18="Plan bereit",5&lt;=Ziele!$B$5),Ziele!C10&gt;0,B79&gt;=Ziele!C10),5,"")</f>
        <v/>
      </c>
      <c r="J79" s="6" t="str">
        <f aca="false">IF(AND(AND(Ziele!$B$18="Plan bereit",5&lt;=Ziele!$B$5),Ziele!C11&gt;0,C79&gt;=Ziele!C11),5,"")</f>
        <v/>
      </c>
      <c r="K79" s="6" t="str">
        <f aca="false">IF(AND(AND(Ziele!$B$18="Plan bereit",5&lt;=Ziele!$B$5),Ziele!C12&gt;0,D79&gt;=Ziele!C12),5,"")</f>
        <v/>
      </c>
      <c r="L79" s="6" t="str">
        <f aca="false">IF(AND(AND(Ziele!$B$18="Plan bereit",5&lt;=Ziele!$B$5),Ziele!C13&gt;0,E79&gt;=Ziele!C13),5,"")</f>
        <v/>
      </c>
      <c r="M79" s="6" t="str">
        <f aca="false">IF(AND(AND(Ziele!$B$18="Plan bereit",5&lt;=Ziele!$B$5),Ziele!C14&gt;0,F79&gt;=Ziele!C14),5,"")</f>
        <v/>
      </c>
      <c r="N79" s="6" t="str">
        <f aca="false">IF(AND(AND(Ziele!$B$18="Plan bereit",5&lt;=Ziele!$B$5),Ziele!C15&gt;0,G79&gt;=Ziele!C15),5,"")</f>
        <v/>
      </c>
    </row>
    <row r="80" customFormat="false" ht="22.5" hidden="false" customHeight="true" outlineLevel="0" collapsed="false">
      <c r="A80" s="6" t="n">
        <f aca="false">IF(AND(Ziele!$B$18="Plan bereit",6&lt;=Ziele!$B$5),6,"")</f>
        <v>6</v>
      </c>
      <c r="B80" s="7" t="n">
        <f aca="false">IF(AND(Ziele!$B$18="Plan bereit",6&lt;=Ziele!$B$5),ROUND(B79+E12,2),"")</f>
        <v>9200</v>
      </c>
      <c r="C80" s="7" t="n">
        <f aca="false">IF(AND(Ziele!$B$18="Plan bereit",6&lt;=Ziele!$B$5),ROUND(C79+F12,2),"")</f>
        <v>18900</v>
      </c>
      <c r="D80" s="7" t="n">
        <f aca="false">IF(AND(Ziele!$B$18="Plan bereit",6&lt;=Ziele!$B$5),ROUND(D79+G12,2),"")</f>
        <v>0</v>
      </c>
      <c r="E80" s="7" t="n">
        <f aca="false">IF(AND(Ziele!$B$18="Plan bereit",6&lt;=Ziele!$B$5),ROUND(E79+H12,2),"")</f>
        <v>0</v>
      </c>
      <c r="F80" s="7" t="n">
        <f aca="false">IF(AND(Ziele!$B$18="Plan bereit",6&lt;=Ziele!$B$5),ROUND(F79+I12,2),"")</f>
        <v>0</v>
      </c>
      <c r="G80" s="7" t="n">
        <f aca="false">IF(AND(Ziele!$B$18="Plan bereit",6&lt;=Ziele!$B$5),ROUND(G79+J12,2),"")</f>
        <v>0</v>
      </c>
      <c r="H80" s="7" t="n">
        <f aca="false">IF(AND(Ziele!$B$18="Plan bereit",6&lt;=Ziele!$B$5),ROUND(SUM(B80:G80),2),"")</f>
        <v>28100</v>
      </c>
      <c r="I80" s="6" t="str">
        <f aca="false">IF(AND(AND(Ziele!$B$18="Plan bereit",6&lt;=Ziele!$B$5),Ziele!C10&gt;0,B80&gt;=Ziele!C10),6,"")</f>
        <v/>
      </c>
      <c r="J80" s="6" t="str">
        <f aca="false">IF(AND(AND(Ziele!$B$18="Plan bereit",6&lt;=Ziele!$B$5),Ziele!C11&gt;0,C80&gt;=Ziele!C11),6,"")</f>
        <v/>
      </c>
      <c r="K80" s="6" t="str">
        <f aca="false">IF(AND(AND(Ziele!$B$18="Plan bereit",6&lt;=Ziele!$B$5),Ziele!C12&gt;0,D80&gt;=Ziele!C12),6,"")</f>
        <v/>
      </c>
      <c r="L80" s="6" t="str">
        <f aca="false">IF(AND(AND(Ziele!$B$18="Plan bereit",6&lt;=Ziele!$B$5),Ziele!C13&gt;0,E80&gt;=Ziele!C13),6,"")</f>
        <v/>
      </c>
      <c r="M80" s="6" t="str">
        <f aca="false">IF(AND(AND(Ziele!$B$18="Plan bereit",6&lt;=Ziele!$B$5),Ziele!C14&gt;0,F80&gt;=Ziele!C14),6,"")</f>
        <v/>
      </c>
      <c r="N80" s="6" t="str">
        <f aca="false">IF(AND(AND(Ziele!$B$18="Plan bereit",6&lt;=Ziele!$B$5),Ziele!C15&gt;0,G80&gt;=Ziele!C15),6,"")</f>
        <v/>
      </c>
    </row>
    <row r="81" customFormat="false" ht="22.5" hidden="false" customHeight="true" outlineLevel="0" collapsed="false">
      <c r="A81" s="6" t="n">
        <f aca="false">IF(AND(Ziele!$B$18="Plan bereit",7&lt;=Ziele!$B$5),7,"")</f>
        <v>7</v>
      </c>
      <c r="B81" s="7" t="n">
        <f aca="false">IF(AND(Ziele!$B$18="Plan bereit",7&lt;=Ziele!$B$5),ROUND(B80+E13,2),"")</f>
        <v>9400</v>
      </c>
      <c r="C81" s="7" t="n">
        <f aca="false">IF(AND(Ziele!$B$18="Plan bereit",7&lt;=Ziele!$B$5),ROUND(C80+F13,2),"")</f>
        <v>19050</v>
      </c>
      <c r="D81" s="7" t="n">
        <f aca="false">IF(AND(Ziele!$B$18="Plan bereit",7&lt;=Ziele!$B$5),ROUND(D80+G13,2),"")</f>
        <v>0</v>
      </c>
      <c r="E81" s="7" t="n">
        <f aca="false">IF(AND(Ziele!$B$18="Plan bereit",7&lt;=Ziele!$B$5),ROUND(E80+H13,2),"")</f>
        <v>0</v>
      </c>
      <c r="F81" s="7" t="n">
        <f aca="false">IF(AND(Ziele!$B$18="Plan bereit",7&lt;=Ziele!$B$5),ROUND(F80+I13,2),"")</f>
        <v>0</v>
      </c>
      <c r="G81" s="7" t="n">
        <f aca="false">IF(AND(Ziele!$B$18="Plan bereit",7&lt;=Ziele!$B$5),ROUND(G80+J13,2),"")</f>
        <v>0</v>
      </c>
      <c r="H81" s="7" t="n">
        <f aca="false">IF(AND(Ziele!$B$18="Plan bereit",7&lt;=Ziele!$B$5),ROUND(SUM(B81:G81),2),"")</f>
        <v>28450</v>
      </c>
      <c r="I81" s="6" t="str">
        <f aca="false">IF(AND(AND(Ziele!$B$18="Plan bereit",7&lt;=Ziele!$B$5),Ziele!C10&gt;0,B81&gt;=Ziele!C10),7,"")</f>
        <v/>
      </c>
      <c r="J81" s="6" t="str">
        <f aca="false">IF(AND(AND(Ziele!$B$18="Plan bereit",7&lt;=Ziele!$B$5),Ziele!C11&gt;0,C81&gt;=Ziele!C11),7,"")</f>
        <v/>
      </c>
      <c r="K81" s="6" t="str">
        <f aca="false">IF(AND(AND(Ziele!$B$18="Plan bereit",7&lt;=Ziele!$B$5),Ziele!C12&gt;0,D81&gt;=Ziele!C12),7,"")</f>
        <v/>
      </c>
      <c r="L81" s="6" t="str">
        <f aca="false">IF(AND(AND(Ziele!$B$18="Plan bereit",7&lt;=Ziele!$B$5),Ziele!C13&gt;0,E81&gt;=Ziele!C13),7,"")</f>
        <v/>
      </c>
      <c r="M81" s="6" t="str">
        <f aca="false">IF(AND(AND(Ziele!$B$18="Plan bereit",7&lt;=Ziele!$B$5),Ziele!C14&gt;0,F81&gt;=Ziele!C14),7,"")</f>
        <v/>
      </c>
      <c r="N81" s="6" t="str">
        <f aca="false">IF(AND(AND(Ziele!$B$18="Plan bereit",7&lt;=Ziele!$B$5),Ziele!C15&gt;0,G81&gt;=Ziele!C15),7,"")</f>
        <v/>
      </c>
    </row>
    <row r="82" customFormat="false" ht="22.5" hidden="false" customHeight="true" outlineLevel="0" collapsed="false">
      <c r="A82" s="6" t="n">
        <f aca="false">IF(AND(Ziele!$B$18="Plan bereit",8&lt;=Ziele!$B$5),8,"")</f>
        <v>8</v>
      </c>
      <c r="B82" s="7" t="n">
        <f aca="false">IF(AND(Ziele!$B$18="Plan bereit",8&lt;=Ziele!$B$5),ROUND(B81+E14,2),"")</f>
        <v>9600</v>
      </c>
      <c r="C82" s="7" t="n">
        <f aca="false">IF(AND(Ziele!$B$18="Plan bereit",8&lt;=Ziele!$B$5),ROUND(C81+F14,2),"")</f>
        <v>19200</v>
      </c>
      <c r="D82" s="7" t="n">
        <f aca="false">IF(AND(Ziele!$B$18="Plan bereit",8&lt;=Ziele!$B$5),ROUND(D81+G14,2),"")</f>
        <v>0</v>
      </c>
      <c r="E82" s="7" t="n">
        <f aca="false">IF(AND(Ziele!$B$18="Plan bereit",8&lt;=Ziele!$B$5),ROUND(E81+H14,2),"")</f>
        <v>0</v>
      </c>
      <c r="F82" s="7" t="n">
        <f aca="false">IF(AND(Ziele!$B$18="Plan bereit",8&lt;=Ziele!$B$5),ROUND(F81+I14,2),"")</f>
        <v>0</v>
      </c>
      <c r="G82" s="7" t="n">
        <f aca="false">IF(AND(Ziele!$B$18="Plan bereit",8&lt;=Ziele!$B$5),ROUND(G81+J14,2),"")</f>
        <v>0</v>
      </c>
      <c r="H82" s="7" t="n">
        <f aca="false">IF(AND(Ziele!$B$18="Plan bereit",8&lt;=Ziele!$B$5),ROUND(SUM(B82:G82),2),"")</f>
        <v>28800</v>
      </c>
      <c r="I82" s="6" t="str">
        <f aca="false">IF(AND(AND(Ziele!$B$18="Plan bereit",8&lt;=Ziele!$B$5),Ziele!C10&gt;0,B82&gt;=Ziele!C10),8,"")</f>
        <v/>
      </c>
      <c r="J82" s="6" t="str">
        <f aca="false">IF(AND(AND(Ziele!$B$18="Plan bereit",8&lt;=Ziele!$B$5),Ziele!C11&gt;0,C82&gt;=Ziele!C11),8,"")</f>
        <v/>
      </c>
      <c r="K82" s="6" t="str">
        <f aca="false">IF(AND(AND(Ziele!$B$18="Plan bereit",8&lt;=Ziele!$B$5),Ziele!C12&gt;0,D82&gt;=Ziele!C12),8,"")</f>
        <v/>
      </c>
      <c r="L82" s="6" t="str">
        <f aca="false">IF(AND(AND(Ziele!$B$18="Plan bereit",8&lt;=Ziele!$B$5),Ziele!C13&gt;0,E82&gt;=Ziele!C13),8,"")</f>
        <v/>
      </c>
      <c r="M82" s="6" t="str">
        <f aca="false">IF(AND(AND(Ziele!$B$18="Plan bereit",8&lt;=Ziele!$B$5),Ziele!C14&gt;0,F82&gt;=Ziele!C14),8,"")</f>
        <v/>
      </c>
      <c r="N82" s="6" t="str">
        <f aca="false">IF(AND(AND(Ziele!$B$18="Plan bereit",8&lt;=Ziele!$B$5),Ziele!C15&gt;0,G82&gt;=Ziele!C15),8,"")</f>
        <v/>
      </c>
    </row>
    <row r="83" customFormat="false" ht="22.5" hidden="false" customHeight="true" outlineLevel="0" collapsed="false">
      <c r="A83" s="6" t="n">
        <f aca="false">IF(AND(Ziele!$B$18="Plan bereit",9&lt;=Ziele!$B$5),9,"")</f>
        <v>9</v>
      </c>
      <c r="B83" s="7" t="n">
        <f aca="false">IF(AND(Ziele!$B$18="Plan bereit",9&lt;=Ziele!$B$5),ROUND(B82+E15,2),"")</f>
        <v>9800</v>
      </c>
      <c r="C83" s="7" t="n">
        <f aca="false">IF(AND(Ziele!$B$18="Plan bereit",9&lt;=Ziele!$B$5),ROUND(C82+F15,2),"")</f>
        <v>19350</v>
      </c>
      <c r="D83" s="7" t="n">
        <f aca="false">IF(AND(Ziele!$B$18="Plan bereit",9&lt;=Ziele!$B$5),ROUND(D82+G15,2),"")</f>
        <v>0</v>
      </c>
      <c r="E83" s="7" t="n">
        <f aca="false">IF(AND(Ziele!$B$18="Plan bereit",9&lt;=Ziele!$B$5),ROUND(E82+H15,2),"")</f>
        <v>0</v>
      </c>
      <c r="F83" s="7" t="n">
        <f aca="false">IF(AND(Ziele!$B$18="Plan bereit",9&lt;=Ziele!$B$5),ROUND(F82+I15,2),"")</f>
        <v>0</v>
      </c>
      <c r="G83" s="7" t="n">
        <f aca="false">IF(AND(Ziele!$B$18="Plan bereit",9&lt;=Ziele!$B$5),ROUND(G82+J15,2),"")</f>
        <v>0</v>
      </c>
      <c r="H83" s="7" t="n">
        <f aca="false">IF(AND(Ziele!$B$18="Plan bereit",9&lt;=Ziele!$B$5),ROUND(SUM(B83:G83),2),"")</f>
        <v>29150</v>
      </c>
      <c r="I83" s="6" t="str">
        <f aca="false">IF(AND(AND(Ziele!$B$18="Plan bereit",9&lt;=Ziele!$B$5),Ziele!C10&gt;0,B83&gt;=Ziele!C10),9,"")</f>
        <v/>
      </c>
      <c r="J83" s="6" t="str">
        <f aca="false">IF(AND(AND(Ziele!$B$18="Plan bereit",9&lt;=Ziele!$B$5),Ziele!C11&gt;0,C83&gt;=Ziele!C11),9,"")</f>
        <v/>
      </c>
      <c r="K83" s="6" t="str">
        <f aca="false">IF(AND(AND(Ziele!$B$18="Plan bereit",9&lt;=Ziele!$B$5),Ziele!C12&gt;0,D83&gt;=Ziele!C12),9,"")</f>
        <v/>
      </c>
      <c r="L83" s="6" t="str">
        <f aca="false">IF(AND(AND(Ziele!$B$18="Plan bereit",9&lt;=Ziele!$B$5),Ziele!C13&gt;0,E83&gt;=Ziele!C13),9,"")</f>
        <v/>
      </c>
      <c r="M83" s="6" t="str">
        <f aca="false">IF(AND(AND(Ziele!$B$18="Plan bereit",9&lt;=Ziele!$B$5),Ziele!C14&gt;0,F83&gt;=Ziele!C14),9,"")</f>
        <v/>
      </c>
      <c r="N83" s="6" t="str">
        <f aca="false">IF(AND(AND(Ziele!$B$18="Plan bereit",9&lt;=Ziele!$B$5),Ziele!C15&gt;0,G83&gt;=Ziele!C15),9,"")</f>
        <v/>
      </c>
    </row>
    <row r="84" customFormat="false" ht="22.5" hidden="false" customHeight="true" outlineLevel="0" collapsed="false">
      <c r="A84" s="6" t="n">
        <f aca="false">IF(AND(Ziele!$B$18="Plan bereit",10&lt;=Ziele!$B$5),10,"")</f>
        <v>10</v>
      </c>
      <c r="B84" s="7" t="n">
        <f aca="false">IF(AND(Ziele!$B$18="Plan bereit",10&lt;=Ziele!$B$5),ROUND(B83+E16,2),"")</f>
        <v>10000</v>
      </c>
      <c r="C84" s="7" t="n">
        <f aca="false">IF(AND(Ziele!$B$18="Plan bereit",10&lt;=Ziele!$B$5),ROUND(C83+F16,2),"")</f>
        <v>19500</v>
      </c>
      <c r="D84" s="7" t="n">
        <f aca="false">IF(AND(Ziele!$B$18="Plan bereit",10&lt;=Ziele!$B$5),ROUND(D83+G16,2),"")</f>
        <v>0</v>
      </c>
      <c r="E84" s="7" t="n">
        <f aca="false">IF(AND(Ziele!$B$18="Plan bereit",10&lt;=Ziele!$B$5),ROUND(E83+H16,2),"")</f>
        <v>0</v>
      </c>
      <c r="F84" s="7" t="n">
        <f aca="false">IF(AND(Ziele!$B$18="Plan bereit",10&lt;=Ziele!$B$5),ROUND(F83+I16,2),"")</f>
        <v>0</v>
      </c>
      <c r="G84" s="7" t="n">
        <f aca="false">IF(AND(Ziele!$B$18="Plan bereit",10&lt;=Ziele!$B$5),ROUND(G83+J16,2),"")</f>
        <v>0</v>
      </c>
      <c r="H84" s="7" t="n">
        <f aca="false">IF(AND(Ziele!$B$18="Plan bereit",10&lt;=Ziele!$B$5),ROUND(SUM(B84:G84),2),"")</f>
        <v>29500</v>
      </c>
      <c r="I84" s="6" t="n">
        <f aca="false">IF(AND(AND(Ziele!$B$18="Plan bereit",10&lt;=Ziele!$B$5),Ziele!C10&gt;0,B84&gt;=Ziele!C10),10,"")</f>
        <v>10</v>
      </c>
      <c r="J84" s="6" t="str">
        <f aca="false">IF(AND(AND(Ziele!$B$18="Plan bereit",10&lt;=Ziele!$B$5),Ziele!C11&gt;0,C84&gt;=Ziele!C11),10,"")</f>
        <v/>
      </c>
      <c r="K84" s="6" t="str">
        <f aca="false">IF(AND(AND(Ziele!$B$18="Plan bereit",10&lt;=Ziele!$B$5),Ziele!C12&gt;0,D84&gt;=Ziele!C12),10,"")</f>
        <v/>
      </c>
      <c r="L84" s="6" t="str">
        <f aca="false">IF(AND(AND(Ziele!$B$18="Plan bereit",10&lt;=Ziele!$B$5),Ziele!C13&gt;0,E84&gt;=Ziele!C13),10,"")</f>
        <v/>
      </c>
      <c r="M84" s="6" t="str">
        <f aca="false">IF(AND(AND(Ziele!$B$18="Plan bereit",10&lt;=Ziele!$B$5),Ziele!C14&gt;0,F84&gt;=Ziele!C14),10,"")</f>
        <v/>
      </c>
      <c r="N84" s="6" t="str">
        <f aca="false">IF(AND(AND(Ziele!$B$18="Plan bereit",10&lt;=Ziele!$B$5),Ziele!C15&gt;0,G84&gt;=Ziele!C15),10,"")</f>
        <v/>
      </c>
    </row>
    <row r="85" customFormat="false" ht="22.5" hidden="false" customHeight="true" outlineLevel="0" collapsed="false">
      <c r="A85" s="6" t="n">
        <f aca="false">IF(AND(Ziele!$B$18="Plan bereit",11&lt;=Ziele!$B$5),11,"")</f>
        <v>11</v>
      </c>
      <c r="B85" s="7" t="n">
        <f aca="false">IF(AND(Ziele!$B$18="Plan bereit",11&lt;=Ziele!$B$5),ROUND(B84+E17,2),"")</f>
        <v>10000</v>
      </c>
      <c r="C85" s="7" t="n">
        <f aca="false">IF(AND(Ziele!$B$18="Plan bereit",11&lt;=Ziele!$B$5),ROUND(C84+F17,2),"")</f>
        <v>19850</v>
      </c>
      <c r="D85" s="7" t="n">
        <f aca="false">IF(AND(Ziele!$B$18="Plan bereit",11&lt;=Ziele!$B$5),ROUND(D84+G17,2),"")</f>
        <v>0</v>
      </c>
      <c r="E85" s="7" t="n">
        <f aca="false">IF(AND(Ziele!$B$18="Plan bereit",11&lt;=Ziele!$B$5),ROUND(E84+H17,2),"")</f>
        <v>0</v>
      </c>
      <c r="F85" s="7" t="n">
        <f aca="false">IF(AND(Ziele!$B$18="Plan bereit",11&lt;=Ziele!$B$5),ROUND(F84+I17,2),"")</f>
        <v>0</v>
      </c>
      <c r="G85" s="7" t="n">
        <f aca="false">IF(AND(Ziele!$B$18="Plan bereit",11&lt;=Ziele!$B$5),ROUND(G84+J17,2),"")</f>
        <v>0</v>
      </c>
      <c r="H85" s="7" t="n">
        <f aca="false">IF(AND(Ziele!$B$18="Plan bereit",11&lt;=Ziele!$B$5),ROUND(SUM(B85:G85),2),"")</f>
        <v>29850</v>
      </c>
      <c r="I85" s="6" t="n">
        <f aca="false">IF(AND(AND(Ziele!$B$18="Plan bereit",11&lt;=Ziele!$B$5),Ziele!C10&gt;0,B85&gt;=Ziele!C10),11,"")</f>
        <v>11</v>
      </c>
      <c r="J85" s="6" t="str">
        <f aca="false">IF(AND(AND(Ziele!$B$18="Plan bereit",11&lt;=Ziele!$B$5),Ziele!C11&gt;0,C85&gt;=Ziele!C11),11,"")</f>
        <v/>
      </c>
      <c r="K85" s="6" t="str">
        <f aca="false">IF(AND(AND(Ziele!$B$18="Plan bereit",11&lt;=Ziele!$B$5),Ziele!C12&gt;0,D85&gt;=Ziele!C12),11,"")</f>
        <v/>
      </c>
      <c r="L85" s="6" t="str">
        <f aca="false">IF(AND(AND(Ziele!$B$18="Plan bereit",11&lt;=Ziele!$B$5),Ziele!C13&gt;0,E85&gt;=Ziele!C13),11,"")</f>
        <v/>
      </c>
      <c r="M85" s="6" t="str">
        <f aca="false">IF(AND(AND(Ziele!$B$18="Plan bereit",11&lt;=Ziele!$B$5),Ziele!C14&gt;0,F85&gt;=Ziele!C14),11,"")</f>
        <v/>
      </c>
      <c r="N85" s="6" t="str">
        <f aca="false">IF(AND(AND(Ziele!$B$18="Plan bereit",11&lt;=Ziele!$B$5),Ziele!C15&gt;0,G85&gt;=Ziele!C15),11,"")</f>
        <v/>
      </c>
    </row>
    <row r="86" customFormat="false" ht="22.5" hidden="false" customHeight="true" outlineLevel="0" collapsed="false">
      <c r="A86" s="6" t="n">
        <f aca="false">IF(AND(Ziele!$B$18="Plan bereit",12&lt;=Ziele!$B$5),12,"")</f>
        <v>12</v>
      </c>
      <c r="B86" s="7" t="n">
        <f aca="false">IF(AND(Ziele!$B$18="Plan bereit",12&lt;=Ziele!$B$5),ROUND(B85+E18,2),"")</f>
        <v>10000</v>
      </c>
      <c r="C86" s="7" t="n">
        <f aca="false">IF(AND(Ziele!$B$18="Plan bereit",12&lt;=Ziele!$B$5),ROUND(C85+F18,2),"")</f>
        <v>20200</v>
      </c>
      <c r="D86" s="7" t="n">
        <f aca="false">IF(AND(Ziele!$B$18="Plan bereit",12&lt;=Ziele!$B$5),ROUND(D85+G18,2),"")</f>
        <v>0</v>
      </c>
      <c r="E86" s="7" t="n">
        <f aca="false">IF(AND(Ziele!$B$18="Plan bereit",12&lt;=Ziele!$B$5),ROUND(E85+H18,2),"")</f>
        <v>0</v>
      </c>
      <c r="F86" s="7" t="n">
        <f aca="false">IF(AND(Ziele!$B$18="Plan bereit",12&lt;=Ziele!$B$5),ROUND(F85+I18,2),"")</f>
        <v>0</v>
      </c>
      <c r="G86" s="7" t="n">
        <f aca="false">IF(AND(Ziele!$B$18="Plan bereit",12&lt;=Ziele!$B$5),ROUND(G85+J18,2),"")</f>
        <v>0</v>
      </c>
      <c r="H86" s="7" t="n">
        <f aca="false">IF(AND(Ziele!$B$18="Plan bereit",12&lt;=Ziele!$B$5),ROUND(SUM(B86:G86),2),"")</f>
        <v>30200</v>
      </c>
      <c r="I86" s="6" t="n">
        <f aca="false">IF(AND(AND(Ziele!$B$18="Plan bereit",12&lt;=Ziele!$B$5),Ziele!C10&gt;0,B86&gt;=Ziele!C10),12,"")</f>
        <v>12</v>
      </c>
      <c r="J86" s="6" t="str">
        <f aca="false">IF(AND(AND(Ziele!$B$18="Plan bereit",12&lt;=Ziele!$B$5),Ziele!C11&gt;0,C86&gt;=Ziele!C11),12,"")</f>
        <v/>
      </c>
      <c r="K86" s="6" t="str">
        <f aca="false">IF(AND(AND(Ziele!$B$18="Plan bereit",12&lt;=Ziele!$B$5),Ziele!C12&gt;0,D86&gt;=Ziele!C12),12,"")</f>
        <v/>
      </c>
      <c r="L86" s="6" t="str">
        <f aca="false">IF(AND(AND(Ziele!$B$18="Plan bereit",12&lt;=Ziele!$B$5),Ziele!C13&gt;0,E86&gt;=Ziele!C13),12,"")</f>
        <v/>
      </c>
      <c r="M86" s="6" t="str">
        <f aca="false">IF(AND(AND(Ziele!$B$18="Plan bereit",12&lt;=Ziele!$B$5),Ziele!C14&gt;0,F86&gt;=Ziele!C14),12,"")</f>
        <v/>
      </c>
      <c r="N86" s="6" t="str">
        <f aca="false">IF(AND(AND(Ziele!$B$18="Plan bereit",12&lt;=Ziele!$B$5),Ziele!C15&gt;0,G86&gt;=Ziele!C15),12,"")</f>
        <v/>
      </c>
    </row>
    <row r="87" customFormat="false" ht="22.5" hidden="false" customHeight="true" outlineLevel="0" collapsed="false">
      <c r="A87" s="6" t="n">
        <f aca="false">IF(AND(Ziele!$B$18="Plan bereit",13&lt;=Ziele!$B$5),13,"")</f>
        <v>13</v>
      </c>
      <c r="B87" s="7" t="n">
        <f aca="false">IF(AND(Ziele!$B$18="Plan bereit",13&lt;=Ziele!$B$5),ROUND(B86+E19,2),"")</f>
        <v>10000</v>
      </c>
      <c r="C87" s="7" t="n">
        <f aca="false">IF(AND(Ziele!$B$18="Plan bereit",13&lt;=Ziele!$B$5),ROUND(C86+F19,2),"")</f>
        <v>20400</v>
      </c>
      <c r="D87" s="7" t="n">
        <f aca="false">IF(AND(Ziele!$B$18="Plan bereit",13&lt;=Ziele!$B$5),ROUND(D86+G19,2),"")</f>
        <v>0</v>
      </c>
      <c r="E87" s="7" t="n">
        <f aca="false">IF(AND(Ziele!$B$18="Plan bereit",13&lt;=Ziele!$B$5),ROUND(E86+H19,2),"")</f>
        <v>0</v>
      </c>
      <c r="F87" s="7" t="n">
        <f aca="false">IF(AND(Ziele!$B$18="Plan bereit",13&lt;=Ziele!$B$5),ROUND(F86+I19,2),"")</f>
        <v>0</v>
      </c>
      <c r="G87" s="7" t="n">
        <f aca="false">IF(AND(Ziele!$B$18="Plan bereit",13&lt;=Ziele!$B$5),ROUND(G86+J19,2),"")</f>
        <v>0</v>
      </c>
      <c r="H87" s="7" t="n">
        <f aca="false">IF(AND(Ziele!$B$18="Plan bereit",13&lt;=Ziele!$B$5),ROUND(SUM(B87:G87),2),"")</f>
        <v>30400</v>
      </c>
      <c r="I87" s="6" t="n">
        <f aca="false">IF(AND(AND(Ziele!$B$18="Plan bereit",13&lt;=Ziele!$B$5),Ziele!C10&gt;0,B87&gt;=Ziele!C10),13,"")</f>
        <v>13</v>
      </c>
      <c r="J87" s="6" t="str">
        <f aca="false">IF(AND(AND(Ziele!$B$18="Plan bereit",13&lt;=Ziele!$B$5),Ziele!C11&gt;0,C87&gt;=Ziele!C11),13,"")</f>
        <v/>
      </c>
      <c r="K87" s="6" t="str">
        <f aca="false">IF(AND(AND(Ziele!$B$18="Plan bereit",13&lt;=Ziele!$B$5),Ziele!C12&gt;0,D87&gt;=Ziele!C12),13,"")</f>
        <v/>
      </c>
      <c r="L87" s="6" t="str">
        <f aca="false">IF(AND(AND(Ziele!$B$18="Plan bereit",13&lt;=Ziele!$B$5),Ziele!C13&gt;0,E87&gt;=Ziele!C13),13,"")</f>
        <v/>
      </c>
      <c r="M87" s="6" t="str">
        <f aca="false">IF(AND(AND(Ziele!$B$18="Plan bereit",13&lt;=Ziele!$B$5),Ziele!C14&gt;0,F87&gt;=Ziele!C14),13,"")</f>
        <v/>
      </c>
      <c r="N87" s="6" t="str">
        <f aca="false">IF(AND(AND(Ziele!$B$18="Plan bereit",13&lt;=Ziele!$B$5),Ziele!C15&gt;0,G87&gt;=Ziele!C15),13,"")</f>
        <v/>
      </c>
    </row>
    <row r="88" customFormat="false" ht="22.5" hidden="false" customHeight="true" outlineLevel="0" collapsed="false">
      <c r="A88" s="6" t="n">
        <f aca="false">IF(AND(Ziele!$B$18="Plan bereit",14&lt;=Ziele!$B$5),14,"")</f>
        <v>14</v>
      </c>
      <c r="B88" s="7" t="n">
        <f aca="false">IF(AND(Ziele!$B$18="Plan bereit",14&lt;=Ziele!$B$5),ROUND(B87+E20,2),"")</f>
        <v>10000</v>
      </c>
      <c r="C88" s="7" t="n">
        <f aca="false">IF(AND(Ziele!$B$18="Plan bereit",14&lt;=Ziele!$B$5),ROUND(C87+F20,2),"")</f>
        <v>20600</v>
      </c>
      <c r="D88" s="7" t="n">
        <f aca="false">IF(AND(Ziele!$B$18="Plan bereit",14&lt;=Ziele!$B$5),ROUND(D87+G20,2),"")</f>
        <v>0</v>
      </c>
      <c r="E88" s="7" t="n">
        <f aca="false">IF(AND(Ziele!$B$18="Plan bereit",14&lt;=Ziele!$B$5),ROUND(E87+H20,2),"")</f>
        <v>0</v>
      </c>
      <c r="F88" s="7" t="n">
        <f aca="false">IF(AND(Ziele!$B$18="Plan bereit",14&lt;=Ziele!$B$5),ROUND(F87+I20,2),"")</f>
        <v>0</v>
      </c>
      <c r="G88" s="7" t="n">
        <f aca="false">IF(AND(Ziele!$B$18="Plan bereit",14&lt;=Ziele!$B$5),ROUND(G87+J20,2),"")</f>
        <v>0</v>
      </c>
      <c r="H88" s="7" t="n">
        <f aca="false">IF(AND(Ziele!$B$18="Plan bereit",14&lt;=Ziele!$B$5),ROUND(SUM(B88:G88),2),"")</f>
        <v>30600</v>
      </c>
      <c r="I88" s="6" t="n">
        <f aca="false">IF(AND(AND(Ziele!$B$18="Plan bereit",14&lt;=Ziele!$B$5),Ziele!C10&gt;0,B88&gt;=Ziele!C10),14,"")</f>
        <v>14</v>
      </c>
      <c r="J88" s="6" t="str">
        <f aca="false">IF(AND(AND(Ziele!$B$18="Plan bereit",14&lt;=Ziele!$B$5),Ziele!C11&gt;0,C88&gt;=Ziele!C11),14,"")</f>
        <v/>
      </c>
      <c r="K88" s="6" t="str">
        <f aca="false">IF(AND(AND(Ziele!$B$18="Plan bereit",14&lt;=Ziele!$B$5),Ziele!C12&gt;0,D88&gt;=Ziele!C12),14,"")</f>
        <v/>
      </c>
      <c r="L88" s="6" t="str">
        <f aca="false">IF(AND(AND(Ziele!$B$18="Plan bereit",14&lt;=Ziele!$B$5),Ziele!C13&gt;0,E88&gt;=Ziele!C13),14,"")</f>
        <v/>
      </c>
      <c r="M88" s="6" t="str">
        <f aca="false">IF(AND(AND(Ziele!$B$18="Plan bereit",14&lt;=Ziele!$B$5),Ziele!C14&gt;0,F88&gt;=Ziele!C14),14,"")</f>
        <v/>
      </c>
      <c r="N88" s="6" t="str">
        <f aca="false">IF(AND(AND(Ziele!$B$18="Plan bereit",14&lt;=Ziele!$B$5),Ziele!C15&gt;0,G88&gt;=Ziele!C15),14,"")</f>
        <v/>
      </c>
    </row>
    <row r="89" customFormat="false" ht="22.5" hidden="false" customHeight="true" outlineLevel="0" collapsed="false">
      <c r="A89" s="6" t="n">
        <f aca="false">IF(AND(Ziele!$B$18="Plan bereit",15&lt;=Ziele!$B$5),15,"")</f>
        <v>15</v>
      </c>
      <c r="B89" s="7" t="n">
        <f aca="false">IF(AND(Ziele!$B$18="Plan bereit",15&lt;=Ziele!$B$5),ROUND(B88+E21,2),"")</f>
        <v>10000</v>
      </c>
      <c r="C89" s="7" t="n">
        <f aca="false">IF(AND(Ziele!$B$18="Plan bereit",15&lt;=Ziele!$B$5),ROUND(C88+F21,2),"")</f>
        <v>20800</v>
      </c>
      <c r="D89" s="7" t="n">
        <f aca="false">IF(AND(Ziele!$B$18="Plan bereit",15&lt;=Ziele!$B$5),ROUND(D88+G21,2),"")</f>
        <v>0</v>
      </c>
      <c r="E89" s="7" t="n">
        <f aca="false">IF(AND(Ziele!$B$18="Plan bereit",15&lt;=Ziele!$B$5),ROUND(E88+H21,2),"")</f>
        <v>0</v>
      </c>
      <c r="F89" s="7" t="n">
        <f aca="false">IF(AND(Ziele!$B$18="Plan bereit",15&lt;=Ziele!$B$5),ROUND(F88+I21,2),"")</f>
        <v>0</v>
      </c>
      <c r="G89" s="7" t="n">
        <f aca="false">IF(AND(Ziele!$B$18="Plan bereit",15&lt;=Ziele!$B$5),ROUND(G88+J21,2),"")</f>
        <v>0</v>
      </c>
      <c r="H89" s="7" t="n">
        <f aca="false">IF(AND(Ziele!$B$18="Plan bereit",15&lt;=Ziele!$B$5),ROUND(SUM(B89:G89),2),"")</f>
        <v>30800</v>
      </c>
      <c r="I89" s="6" t="n">
        <f aca="false">IF(AND(AND(Ziele!$B$18="Plan bereit",15&lt;=Ziele!$B$5),Ziele!C10&gt;0,B89&gt;=Ziele!C10),15,"")</f>
        <v>15</v>
      </c>
      <c r="J89" s="6" t="str">
        <f aca="false">IF(AND(AND(Ziele!$B$18="Plan bereit",15&lt;=Ziele!$B$5),Ziele!C11&gt;0,C89&gt;=Ziele!C11),15,"")</f>
        <v/>
      </c>
      <c r="K89" s="6" t="str">
        <f aca="false">IF(AND(AND(Ziele!$B$18="Plan bereit",15&lt;=Ziele!$B$5),Ziele!C12&gt;0,D89&gt;=Ziele!C12),15,"")</f>
        <v/>
      </c>
      <c r="L89" s="6" t="str">
        <f aca="false">IF(AND(AND(Ziele!$B$18="Plan bereit",15&lt;=Ziele!$B$5),Ziele!C13&gt;0,E89&gt;=Ziele!C13),15,"")</f>
        <v/>
      </c>
      <c r="M89" s="6" t="str">
        <f aca="false">IF(AND(AND(Ziele!$B$18="Plan bereit",15&lt;=Ziele!$B$5),Ziele!C14&gt;0,F89&gt;=Ziele!C14),15,"")</f>
        <v/>
      </c>
      <c r="N89" s="6" t="str">
        <f aca="false">IF(AND(AND(Ziele!$B$18="Plan bereit",15&lt;=Ziele!$B$5),Ziele!C15&gt;0,G89&gt;=Ziele!C15),15,"")</f>
        <v/>
      </c>
    </row>
    <row r="90" customFormat="false" ht="22.5" hidden="false" customHeight="true" outlineLevel="0" collapsed="false">
      <c r="A90" s="6" t="n">
        <f aca="false">IF(AND(Ziele!$B$18="Plan bereit",16&lt;=Ziele!$B$5),16,"")</f>
        <v>16</v>
      </c>
      <c r="B90" s="7" t="n">
        <f aca="false">IF(AND(Ziele!$B$18="Plan bereit",16&lt;=Ziele!$B$5),ROUND(B89+E22,2),"")</f>
        <v>10000</v>
      </c>
      <c r="C90" s="7" t="n">
        <f aca="false">IF(AND(Ziele!$B$18="Plan bereit",16&lt;=Ziele!$B$5),ROUND(C89+F22,2),"")</f>
        <v>21000</v>
      </c>
      <c r="D90" s="7" t="n">
        <f aca="false">IF(AND(Ziele!$B$18="Plan bereit",16&lt;=Ziele!$B$5),ROUND(D89+G22,2),"")</f>
        <v>0</v>
      </c>
      <c r="E90" s="7" t="n">
        <f aca="false">IF(AND(Ziele!$B$18="Plan bereit",16&lt;=Ziele!$B$5),ROUND(E89+H22,2),"")</f>
        <v>0</v>
      </c>
      <c r="F90" s="7" t="n">
        <f aca="false">IF(AND(Ziele!$B$18="Plan bereit",16&lt;=Ziele!$B$5),ROUND(F89+I22,2),"")</f>
        <v>0</v>
      </c>
      <c r="G90" s="7" t="n">
        <f aca="false">IF(AND(Ziele!$B$18="Plan bereit",16&lt;=Ziele!$B$5),ROUND(G89+J22,2),"")</f>
        <v>0</v>
      </c>
      <c r="H90" s="7" t="n">
        <f aca="false">IF(AND(Ziele!$B$18="Plan bereit",16&lt;=Ziele!$B$5),ROUND(SUM(B90:G90),2),"")</f>
        <v>31000</v>
      </c>
      <c r="I90" s="6" t="n">
        <f aca="false">IF(AND(AND(Ziele!$B$18="Plan bereit",16&lt;=Ziele!$B$5),Ziele!C10&gt;0,B90&gt;=Ziele!C10),16,"")</f>
        <v>16</v>
      </c>
      <c r="J90" s="6" t="str">
        <f aca="false">IF(AND(AND(Ziele!$B$18="Plan bereit",16&lt;=Ziele!$B$5),Ziele!C11&gt;0,C90&gt;=Ziele!C11),16,"")</f>
        <v/>
      </c>
      <c r="K90" s="6" t="str">
        <f aca="false">IF(AND(AND(Ziele!$B$18="Plan bereit",16&lt;=Ziele!$B$5),Ziele!C12&gt;0,D90&gt;=Ziele!C12),16,"")</f>
        <v/>
      </c>
      <c r="L90" s="6" t="str">
        <f aca="false">IF(AND(AND(Ziele!$B$18="Plan bereit",16&lt;=Ziele!$B$5),Ziele!C13&gt;0,E90&gt;=Ziele!C13),16,"")</f>
        <v/>
      </c>
      <c r="M90" s="6" t="str">
        <f aca="false">IF(AND(AND(Ziele!$B$18="Plan bereit",16&lt;=Ziele!$B$5),Ziele!C14&gt;0,F90&gt;=Ziele!C14),16,"")</f>
        <v/>
      </c>
      <c r="N90" s="6" t="str">
        <f aca="false">IF(AND(AND(Ziele!$B$18="Plan bereit",16&lt;=Ziele!$B$5),Ziele!C15&gt;0,G90&gt;=Ziele!C15),16,"")</f>
        <v/>
      </c>
    </row>
    <row r="91" customFormat="false" ht="22.5" hidden="false" customHeight="true" outlineLevel="0" collapsed="false">
      <c r="A91" s="6" t="n">
        <f aca="false">IF(AND(Ziele!$B$18="Plan bereit",17&lt;=Ziele!$B$5),17,"")</f>
        <v>17</v>
      </c>
      <c r="B91" s="7" t="n">
        <f aca="false">IF(AND(Ziele!$B$18="Plan bereit",17&lt;=Ziele!$B$5),ROUND(B90+E23,2),"")</f>
        <v>10000</v>
      </c>
      <c r="C91" s="7" t="n">
        <f aca="false">IF(AND(Ziele!$B$18="Plan bereit",17&lt;=Ziele!$B$5),ROUND(C90+F23,2),"")</f>
        <v>21200</v>
      </c>
      <c r="D91" s="7" t="n">
        <f aca="false">IF(AND(Ziele!$B$18="Plan bereit",17&lt;=Ziele!$B$5),ROUND(D90+G23,2),"")</f>
        <v>0</v>
      </c>
      <c r="E91" s="7" t="n">
        <f aca="false">IF(AND(Ziele!$B$18="Plan bereit",17&lt;=Ziele!$B$5),ROUND(E90+H23,2),"")</f>
        <v>0</v>
      </c>
      <c r="F91" s="7" t="n">
        <f aca="false">IF(AND(Ziele!$B$18="Plan bereit",17&lt;=Ziele!$B$5),ROUND(F90+I23,2),"")</f>
        <v>0</v>
      </c>
      <c r="G91" s="7" t="n">
        <f aca="false">IF(AND(Ziele!$B$18="Plan bereit",17&lt;=Ziele!$B$5),ROUND(G90+J23,2),"")</f>
        <v>0</v>
      </c>
      <c r="H91" s="7" t="n">
        <f aca="false">IF(AND(Ziele!$B$18="Plan bereit",17&lt;=Ziele!$B$5),ROUND(SUM(B91:G91),2),"")</f>
        <v>31200</v>
      </c>
      <c r="I91" s="6" t="n">
        <f aca="false">IF(AND(AND(Ziele!$B$18="Plan bereit",17&lt;=Ziele!$B$5),Ziele!C10&gt;0,B91&gt;=Ziele!C10),17,"")</f>
        <v>17</v>
      </c>
      <c r="J91" s="6" t="str">
        <f aca="false">IF(AND(AND(Ziele!$B$18="Plan bereit",17&lt;=Ziele!$B$5),Ziele!C11&gt;0,C91&gt;=Ziele!C11),17,"")</f>
        <v/>
      </c>
      <c r="K91" s="6" t="str">
        <f aca="false">IF(AND(AND(Ziele!$B$18="Plan bereit",17&lt;=Ziele!$B$5),Ziele!C12&gt;0,D91&gt;=Ziele!C12),17,"")</f>
        <v/>
      </c>
      <c r="L91" s="6" t="str">
        <f aca="false">IF(AND(AND(Ziele!$B$18="Plan bereit",17&lt;=Ziele!$B$5),Ziele!C13&gt;0,E91&gt;=Ziele!C13),17,"")</f>
        <v/>
      </c>
      <c r="M91" s="6" t="str">
        <f aca="false">IF(AND(AND(Ziele!$B$18="Plan bereit",17&lt;=Ziele!$B$5),Ziele!C14&gt;0,F91&gt;=Ziele!C14),17,"")</f>
        <v/>
      </c>
      <c r="N91" s="6" t="str">
        <f aca="false">IF(AND(AND(Ziele!$B$18="Plan bereit",17&lt;=Ziele!$B$5),Ziele!C15&gt;0,G91&gt;=Ziele!C15),17,"")</f>
        <v/>
      </c>
    </row>
    <row r="92" customFormat="false" ht="22.5" hidden="false" customHeight="true" outlineLevel="0" collapsed="false">
      <c r="A92" s="6" t="n">
        <f aca="false">IF(AND(Ziele!$B$18="Plan bereit",18&lt;=Ziele!$B$5),18,"")</f>
        <v>18</v>
      </c>
      <c r="B92" s="7" t="n">
        <f aca="false">IF(AND(Ziele!$B$18="Plan bereit",18&lt;=Ziele!$B$5),ROUND(B91+E24,2),"")</f>
        <v>10000</v>
      </c>
      <c r="C92" s="7" t="n">
        <f aca="false">IF(AND(Ziele!$B$18="Plan bereit",18&lt;=Ziele!$B$5),ROUND(C91+F24,2),"")</f>
        <v>21400</v>
      </c>
      <c r="D92" s="7" t="n">
        <f aca="false">IF(AND(Ziele!$B$18="Plan bereit",18&lt;=Ziele!$B$5),ROUND(D91+G24,2),"")</f>
        <v>0</v>
      </c>
      <c r="E92" s="7" t="n">
        <f aca="false">IF(AND(Ziele!$B$18="Plan bereit",18&lt;=Ziele!$B$5),ROUND(E91+H24,2),"")</f>
        <v>0</v>
      </c>
      <c r="F92" s="7" t="n">
        <f aca="false">IF(AND(Ziele!$B$18="Plan bereit",18&lt;=Ziele!$B$5),ROUND(F91+I24,2),"")</f>
        <v>0</v>
      </c>
      <c r="G92" s="7" t="n">
        <f aca="false">IF(AND(Ziele!$B$18="Plan bereit",18&lt;=Ziele!$B$5),ROUND(G91+J24,2),"")</f>
        <v>0</v>
      </c>
      <c r="H92" s="7" t="n">
        <f aca="false">IF(AND(Ziele!$B$18="Plan bereit",18&lt;=Ziele!$B$5),ROUND(SUM(B92:G92),2),"")</f>
        <v>31400</v>
      </c>
      <c r="I92" s="6" t="n">
        <f aca="false">IF(AND(AND(Ziele!$B$18="Plan bereit",18&lt;=Ziele!$B$5),Ziele!C10&gt;0,B92&gt;=Ziele!C10),18,"")</f>
        <v>18</v>
      </c>
      <c r="J92" s="6" t="str">
        <f aca="false">IF(AND(AND(Ziele!$B$18="Plan bereit",18&lt;=Ziele!$B$5),Ziele!C11&gt;0,C92&gt;=Ziele!C11),18,"")</f>
        <v/>
      </c>
      <c r="K92" s="6" t="str">
        <f aca="false">IF(AND(AND(Ziele!$B$18="Plan bereit",18&lt;=Ziele!$B$5),Ziele!C12&gt;0,D92&gt;=Ziele!C12),18,"")</f>
        <v/>
      </c>
      <c r="L92" s="6" t="str">
        <f aca="false">IF(AND(AND(Ziele!$B$18="Plan bereit",18&lt;=Ziele!$B$5),Ziele!C13&gt;0,E92&gt;=Ziele!C13),18,"")</f>
        <v/>
      </c>
      <c r="M92" s="6" t="str">
        <f aca="false">IF(AND(AND(Ziele!$B$18="Plan bereit",18&lt;=Ziele!$B$5),Ziele!C14&gt;0,F92&gt;=Ziele!C14),18,"")</f>
        <v/>
      </c>
      <c r="N92" s="6" t="str">
        <f aca="false">IF(AND(AND(Ziele!$B$18="Plan bereit",18&lt;=Ziele!$B$5),Ziele!C15&gt;0,G92&gt;=Ziele!C15),18,"")</f>
        <v/>
      </c>
    </row>
    <row r="93" customFormat="false" ht="22.5" hidden="false" customHeight="true" outlineLevel="0" collapsed="false">
      <c r="A93" s="6" t="n">
        <f aca="false">IF(AND(Ziele!$B$18="Plan bereit",19&lt;=Ziele!$B$5),19,"")</f>
        <v>19</v>
      </c>
      <c r="B93" s="7" t="n">
        <f aca="false">IF(AND(Ziele!$B$18="Plan bereit",19&lt;=Ziele!$B$5),ROUND(B92+E25,2),"")</f>
        <v>10000</v>
      </c>
      <c r="C93" s="7" t="n">
        <f aca="false">IF(AND(Ziele!$B$18="Plan bereit",19&lt;=Ziele!$B$5),ROUND(C92+F25,2),"")</f>
        <v>21750</v>
      </c>
      <c r="D93" s="7" t="n">
        <f aca="false">IF(AND(Ziele!$B$18="Plan bereit",19&lt;=Ziele!$B$5),ROUND(D92+G25,2),"")</f>
        <v>0</v>
      </c>
      <c r="E93" s="7" t="n">
        <f aca="false">IF(AND(Ziele!$B$18="Plan bereit",19&lt;=Ziele!$B$5),ROUND(E92+H25,2),"")</f>
        <v>0</v>
      </c>
      <c r="F93" s="7" t="n">
        <f aca="false">IF(AND(Ziele!$B$18="Plan bereit",19&lt;=Ziele!$B$5),ROUND(F92+I25,2),"")</f>
        <v>0</v>
      </c>
      <c r="G93" s="7" t="n">
        <f aca="false">IF(AND(Ziele!$B$18="Plan bereit",19&lt;=Ziele!$B$5),ROUND(G92+J25,2),"")</f>
        <v>0</v>
      </c>
      <c r="H93" s="7" t="n">
        <f aca="false">IF(AND(Ziele!$B$18="Plan bereit",19&lt;=Ziele!$B$5),ROUND(SUM(B93:G93),2),"")</f>
        <v>31750</v>
      </c>
      <c r="I93" s="6" t="n">
        <f aca="false">IF(AND(AND(Ziele!$B$18="Plan bereit",19&lt;=Ziele!$B$5),Ziele!C10&gt;0,B93&gt;=Ziele!C10),19,"")</f>
        <v>19</v>
      </c>
      <c r="J93" s="6" t="str">
        <f aca="false">IF(AND(AND(Ziele!$B$18="Plan bereit",19&lt;=Ziele!$B$5),Ziele!C11&gt;0,C93&gt;=Ziele!C11),19,"")</f>
        <v/>
      </c>
      <c r="K93" s="6" t="str">
        <f aca="false">IF(AND(AND(Ziele!$B$18="Plan bereit",19&lt;=Ziele!$B$5),Ziele!C12&gt;0,D93&gt;=Ziele!C12),19,"")</f>
        <v/>
      </c>
      <c r="L93" s="6" t="str">
        <f aca="false">IF(AND(AND(Ziele!$B$18="Plan bereit",19&lt;=Ziele!$B$5),Ziele!C13&gt;0,E93&gt;=Ziele!C13),19,"")</f>
        <v/>
      </c>
      <c r="M93" s="6" t="str">
        <f aca="false">IF(AND(AND(Ziele!$B$18="Plan bereit",19&lt;=Ziele!$B$5),Ziele!C14&gt;0,F93&gt;=Ziele!C14),19,"")</f>
        <v/>
      </c>
      <c r="N93" s="6" t="str">
        <f aca="false">IF(AND(AND(Ziele!$B$18="Plan bereit",19&lt;=Ziele!$B$5),Ziele!C15&gt;0,G93&gt;=Ziele!C15),19,"")</f>
        <v/>
      </c>
    </row>
    <row r="94" customFormat="false" ht="22.5" hidden="false" customHeight="true" outlineLevel="0" collapsed="false">
      <c r="A94" s="6" t="n">
        <f aca="false">IF(AND(Ziele!$B$18="Plan bereit",20&lt;=Ziele!$B$5),20,"")</f>
        <v>20</v>
      </c>
      <c r="B94" s="7" t="n">
        <f aca="false">IF(AND(Ziele!$B$18="Plan bereit",20&lt;=Ziele!$B$5),ROUND(B93+E26,2),"")</f>
        <v>10000</v>
      </c>
      <c r="C94" s="7" t="n">
        <f aca="false">IF(AND(Ziele!$B$18="Plan bereit",20&lt;=Ziele!$B$5),ROUND(C93+F26,2),"")</f>
        <v>22100</v>
      </c>
      <c r="D94" s="7" t="n">
        <f aca="false">IF(AND(Ziele!$B$18="Plan bereit",20&lt;=Ziele!$B$5),ROUND(D93+G26,2),"")</f>
        <v>0</v>
      </c>
      <c r="E94" s="7" t="n">
        <f aca="false">IF(AND(Ziele!$B$18="Plan bereit",20&lt;=Ziele!$B$5),ROUND(E93+H26,2),"")</f>
        <v>0</v>
      </c>
      <c r="F94" s="7" t="n">
        <f aca="false">IF(AND(Ziele!$B$18="Plan bereit",20&lt;=Ziele!$B$5),ROUND(F93+I26,2),"")</f>
        <v>0</v>
      </c>
      <c r="G94" s="7" t="n">
        <f aca="false">IF(AND(Ziele!$B$18="Plan bereit",20&lt;=Ziele!$B$5),ROUND(G93+J26,2),"")</f>
        <v>0</v>
      </c>
      <c r="H94" s="7" t="n">
        <f aca="false">IF(AND(Ziele!$B$18="Plan bereit",20&lt;=Ziele!$B$5),ROUND(SUM(B94:G94),2),"")</f>
        <v>32100</v>
      </c>
      <c r="I94" s="6" t="n">
        <f aca="false">IF(AND(AND(Ziele!$B$18="Plan bereit",20&lt;=Ziele!$B$5),Ziele!C10&gt;0,B94&gt;=Ziele!C10),20,"")</f>
        <v>20</v>
      </c>
      <c r="J94" s="6" t="str">
        <f aca="false">IF(AND(AND(Ziele!$B$18="Plan bereit",20&lt;=Ziele!$B$5),Ziele!C11&gt;0,C94&gt;=Ziele!C11),20,"")</f>
        <v/>
      </c>
      <c r="K94" s="6" t="str">
        <f aca="false">IF(AND(AND(Ziele!$B$18="Plan bereit",20&lt;=Ziele!$B$5),Ziele!C12&gt;0,D94&gt;=Ziele!C12),20,"")</f>
        <v/>
      </c>
      <c r="L94" s="6" t="str">
        <f aca="false">IF(AND(AND(Ziele!$B$18="Plan bereit",20&lt;=Ziele!$B$5),Ziele!C13&gt;0,E94&gt;=Ziele!C13),20,"")</f>
        <v/>
      </c>
      <c r="M94" s="6" t="str">
        <f aca="false">IF(AND(AND(Ziele!$B$18="Plan bereit",20&lt;=Ziele!$B$5),Ziele!C14&gt;0,F94&gt;=Ziele!C14),20,"")</f>
        <v/>
      </c>
      <c r="N94" s="6" t="str">
        <f aca="false">IF(AND(AND(Ziele!$B$18="Plan bereit",20&lt;=Ziele!$B$5),Ziele!C15&gt;0,G94&gt;=Ziele!C15),20,"")</f>
        <v/>
      </c>
    </row>
    <row r="95" customFormat="false" ht="22.5" hidden="false" customHeight="true" outlineLevel="0" collapsed="false">
      <c r="A95" s="6" t="n">
        <f aca="false">IF(AND(Ziele!$B$18="Plan bereit",21&lt;=Ziele!$B$5),21,"")</f>
        <v>21</v>
      </c>
      <c r="B95" s="7" t="n">
        <f aca="false">IF(AND(Ziele!$B$18="Plan bereit",21&lt;=Ziele!$B$5),ROUND(B94+E27,2),"")</f>
        <v>10000</v>
      </c>
      <c r="C95" s="7" t="n">
        <f aca="false">IF(AND(Ziele!$B$18="Plan bereit",21&lt;=Ziele!$B$5),ROUND(C94+F27,2),"")</f>
        <v>22450</v>
      </c>
      <c r="D95" s="7" t="n">
        <f aca="false">IF(AND(Ziele!$B$18="Plan bereit",21&lt;=Ziele!$B$5),ROUND(D94+G27,2),"")</f>
        <v>0</v>
      </c>
      <c r="E95" s="7" t="n">
        <f aca="false">IF(AND(Ziele!$B$18="Plan bereit",21&lt;=Ziele!$B$5),ROUND(E94+H27,2),"")</f>
        <v>0</v>
      </c>
      <c r="F95" s="7" t="n">
        <f aca="false">IF(AND(Ziele!$B$18="Plan bereit",21&lt;=Ziele!$B$5),ROUND(F94+I27,2),"")</f>
        <v>0</v>
      </c>
      <c r="G95" s="7" t="n">
        <f aca="false">IF(AND(Ziele!$B$18="Plan bereit",21&lt;=Ziele!$B$5),ROUND(G94+J27,2),"")</f>
        <v>0</v>
      </c>
      <c r="H95" s="7" t="n">
        <f aca="false">IF(AND(Ziele!$B$18="Plan bereit",21&lt;=Ziele!$B$5),ROUND(SUM(B95:G95),2),"")</f>
        <v>32450</v>
      </c>
      <c r="I95" s="6" t="n">
        <f aca="false">IF(AND(AND(Ziele!$B$18="Plan bereit",21&lt;=Ziele!$B$5),Ziele!C10&gt;0,B95&gt;=Ziele!C10),21,"")</f>
        <v>21</v>
      </c>
      <c r="J95" s="6" t="str">
        <f aca="false">IF(AND(AND(Ziele!$B$18="Plan bereit",21&lt;=Ziele!$B$5),Ziele!C11&gt;0,C95&gt;=Ziele!C11),21,"")</f>
        <v/>
      </c>
      <c r="K95" s="6" t="str">
        <f aca="false">IF(AND(AND(Ziele!$B$18="Plan bereit",21&lt;=Ziele!$B$5),Ziele!C12&gt;0,D95&gt;=Ziele!C12),21,"")</f>
        <v/>
      </c>
      <c r="L95" s="6" t="str">
        <f aca="false">IF(AND(AND(Ziele!$B$18="Plan bereit",21&lt;=Ziele!$B$5),Ziele!C13&gt;0,E95&gt;=Ziele!C13),21,"")</f>
        <v/>
      </c>
      <c r="M95" s="6" t="str">
        <f aca="false">IF(AND(AND(Ziele!$B$18="Plan bereit",21&lt;=Ziele!$B$5),Ziele!C14&gt;0,F95&gt;=Ziele!C14),21,"")</f>
        <v/>
      </c>
      <c r="N95" s="6" t="str">
        <f aca="false">IF(AND(AND(Ziele!$B$18="Plan bereit",21&lt;=Ziele!$B$5),Ziele!C15&gt;0,G95&gt;=Ziele!C15),21,"")</f>
        <v/>
      </c>
    </row>
    <row r="96" customFormat="false" ht="22.5" hidden="false" customHeight="true" outlineLevel="0" collapsed="false">
      <c r="A96" s="6" t="n">
        <f aca="false">IF(AND(Ziele!$B$18="Plan bereit",22&lt;=Ziele!$B$5),22,"")</f>
        <v>22</v>
      </c>
      <c r="B96" s="7" t="n">
        <f aca="false">IF(AND(Ziele!$B$18="Plan bereit",22&lt;=Ziele!$B$5),ROUND(B95+E28,2),"")</f>
        <v>10000</v>
      </c>
      <c r="C96" s="7" t="n">
        <f aca="false">IF(AND(Ziele!$B$18="Plan bereit",22&lt;=Ziele!$B$5),ROUND(C95+F28,2),"")</f>
        <v>22800</v>
      </c>
      <c r="D96" s="7" t="n">
        <f aca="false">IF(AND(Ziele!$B$18="Plan bereit",22&lt;=Ziele!$B$5),ROUND(D95+G28,2),"")</f>
        <v>0</v>
      </c>
      <c r="E96" s="7" t="n">
        <f aca="false">IF(AND(Ziele!$B$18="Plan bereit",22&lt;=Ziele!$B$5),ROUND(E95+H28,2),"")</f>
        <v>0</v>
      </c>
      <c r="F96" s="7" t="n">
        <f aca="false">IF(AND(Ziele!$B$18="Plan bereit",22&lt;=Ziele!$B$5),ROUND(F95+I28,2),"")</f>
        <v>0</v>
      </c>
      <c r="G96" s="7" t="n">
        <f aca="false">IF(AND(Ziele!$B$18="Plan bereit",22&lt;=Ziele!$B$5),ROUND(G95+J28,2),"")</f>
        <v>0</v>
      </c>
      <c r="H96" s="7" t="n">
        <f aca="false">IF(AND(Ziele!$B$18="Plan bereit",22&lt;=Ziele!$B$5),ROUND(SUM(B96:G96),2),"")</f>
        <v>32800</v>
      </c>
      <c r="I96" s="6" t="n">
        <f aca="false">IF(AND(AND(Ziele!$B$18="Plan bereit",22&lt;=Ziele!$B$5),Ziele!C10&gt;0,B96&gt;=Ziele!C10),22,"")</f>
        <v>22</v>
      </c>
      <c r="J96" s="6" t="str">
        <f aca="false">IF(AND(AND(Ziele!$B$18="Plan bereit",22&lt;=Ziele!$B$5),Ziele!C11&gt;0,C96&gt;=Ziele!C11),22,"")</f>
        <v/>
      </c>
      <c r="K96" s="6" t="str">
        <f aca="false">IF(AND(AND(Ziele!$B$18="Plan bereit",22&lt;=Ziele!$B$5),Ziele!C12&gt;0,D96&gt;=Ziele!C12),22,"")</f>
        <v/>
      </c>
      <c r="L96" s="6" t="str">
        <f aca="false">IF(AND(AND(Ziele!$B$18="Plan bereit",22&lt;=Ziele!$B$5),Ziele!C13&gt;0,E96&gt;=Ziele!C13),22,"")</f>
        <v/>
      </c>
      <c r="M96" s="6" t="str">
        <f aca="false">IF(AND(AND(Ziele!$B$18="Plan bereit",22&lt;=Ziele!$B$5),Ziele!C14&gt;0,F96&gt;=Ziele!C14),22,"")</f>
        <v/>
      </c>
      <c r="N96" s="6" t="str">
        <f aca="false">IF(AND(AND(Ziele!$B$18="Plan bereit",22&lt;=Ziele!$B$5),Ziele!C15&gt;0,G96&gt;=Ziele!C15),22,"")</f>
        <v/>
      </c>
    </row>
    <row r="97" customFormat="false" ht="22.5" hidden="false" customHeight="true" outlineLevel="0" collapsed="false">
      <c r="A97" s="6" t="n">
        <f aca="false">IF(AND(Ziele!$B$18="Plan bereit",23&lt;=Ziele!$B$5),23,"")</f>
        <v>23</v>
      </c>
      <c r="B97" s="7" t="n">
        <f aca="false">IF(AND(Ziele!$B$18="Plan bereit",23&lt;=Ziele!$B$5),ROUND(B96+E29,2),"")</f>
        <v>10000</v>
      </c>
      <c r="C97" s="7" t="n">
        <f aca="false">IF(AND(Ziele!$B$18="Plan bereit",23&lt;=Ziele!$B$5),ROUND(C96+F29,2),"")</f>
        <v>23150</v>
      </c>
      <c r="D97" s="7" t="n">
        <f aca="false">IF(AND(Ziele!$B$18="Plan bereit",23&lt;=Ziele!$B$5),ROUND(D96+G29,2),"")</f>
        <v>0</v>
      </c>
      <c r="E97" s="7" t="n">
        <f aca="false">IF(AND(Ziele!$B$18="Plan bereit",23&lt;=Ziele!$B$5),ROUND(E96+H29,2),"")</f>
        <v>0</v>
      </c>
      <c r="F97" s="7" t="n">
        <f aca="false">IF(AND(Ziele!$B$18="Plan bereit",23&lt;=Ziele!$B$5),ROUND(F96+I29,2),"")</f>
        <v>0</v>
      </c>
      <c r="G97" s="7" t="n">
        <f aca="false">IF(AND(Ziele!$B$18="Plan bereit",23&lt;=Ziele!$B$5),ROUND(G96+J29,2),"")</f>
        <v>0</v>
      </c>
      <c r="H97" s="7" t="n">
        <f aca="false">IF(AND(Ziele!$B$18="Plan bereit",23&lt;=Ziele!$B$5),ROUND(SUM(B97:G97),2),"")</f>
        <v>33150</v>
      </c>
      <c r="I97" s="6" t="n">
        <f aca="false">IF(AND(AND(Ziele!$B$18="Plan bereit",23&lt;=Ziele!$B$5),Ziele!C10&gt;0,B97&gt;=Ziele!C10),23,"")</f>
        <v>23</v>
      </c>
      <c r="J97" s="6" t="str">
        <f aca="false">IF(AND(AND(Ziele!$B$18="Plan bereit",23&lt;=Ziele!$B$5),Ziele!C11&gt;0,C97&gt;=Ziele!C11),23,"")</f>
        <v/>
      </c>
      <c r="K97" s="6" t="str">
        <f aca="false">IF(AND(AND(Ziele!$B$18="Plan bereit",23&lt;=Ziele!$B$5),Ziele!C12&gt;0,D97&gt;=Ziele!C12),23,"")</f>
        <v/>
      </c>
      <c r="L97" s="6" t="str">
        <f aca="false">IF(AND(AND(Ziele!$B$18="Plan bereit",23&lt;=Ziele!$B$5),Ziele!C13&gt;0,E97&gt;=Ziele!C13),23,"")</f>
        <v/>
      </c>
      <c r="M97" s="6" t="str">
        <f aca="false">IF(AND(AND(Ziele!$B$18="Plan bereit",23&lt;=Ziele!$B$5),Ziele!C14&gt;0,F97&gt;=Ziele!C14),23,"")</f>
        <v/>
      </c>
      <c r="N97" s="6" t="str">
        <f aca="false">IF(AND(AND(Ziele!$B$18="Plan bereit",23&lt;=Ziele!$B$5),Ziele!C15&gt;0,G97&gt;=Ziele!C15),23,"")</f>
        <v/>
      </c>
    </row>
    <row r="98" customFormat="false" ht="22.5" hidden="false" customHeight="true" outlineLevel="0" collapsed="false">
      <c r="A98" s="6" t="n">
        <f aca="false">IF(AND(Ziele!$B$18="Plan bereit",24&lt;=Ziele!$B$5),24,"")</f>
        <v>24</v>
      </c>
      <c r="B98" s="7" t="n">
        <f aca="false">IF(AND(Ziele!$B$18="Plan bereit",24&lt;=Ziele!$B$5),ROUND(B97+E30,2),"")</f>
        <v>10000</v>
      </c>
      <c r="C98" s="7" t="n">
        <f aca="false">IF(AND(Ziele!$B$18="Plan bereit",24&lt;=Ziele!$B$5),ROUND(C97+F30,2),"")</f>
        <v>23500</v>
      </c>
      <c r="D98" s="7" t="n">
        <f aca="false">IF(AND(Ziele!$B$18="Plan bereit",24&lt;=Ziele!$B$5),ROUND(D97+G30,2),"")</f>
        <v>0</v>
      </c>
      <c r="E98" s="7" t="n">
        <f aca="false">IF(AND(Ziele!$B$18="Plan bereit",24&lt;=Ziele!$B$5),ROUND(E97+H30,2),"")</f>
        <v>0</v>
      </c>
      <c r="F98" s="7" t="n">
        <f aca="false">IF(AND(Ziele!$B$18="Plan bereit",24&lt;=Ziele!$B$5),ROUND(F97+I30,2),"")</f>
        <v>0</v>
      </c>
      <c r="G98" s="7" t="n">
        <f aca="false">IF(AND(Ziele!$B$18="Plan bereit",24&lt;=Ziele!$B$5),ROUND(G97+J30,2),"")</f>
        <v>0</v>
      </c>
      <c r="H98" s="7" t="n">
        <f aca="false">IF(AND(Ziele!$B$18="Plan bereit",24&lt;=Ziele!$B$5),ROUND(SUM(B98:G98),2),"")</f>
        <v>33500</v>
      </c>
      <c r="I98" s="6" t="n">
        <f aca="false">IF(AND(AND(Ziele!$B$18="Plan bereit",24&lt;=Ziele!$B$5),Ziele!C10&gt;0,B98&gt;=Ziele!C10),24,"")</f>
        <v>24</v>
      </c>
      <c r="J98" s="6" t="str">
        <f aca="false">IF(AND(AND(Ziele!$B$18="Plan bereit",24&lt;=Ziele!$B$5),Ziele!C11&gt;0,C98&gt;=Ziele!C11),24,"")</f>
        <v/>
      </c>
      <c r="K98" s="6" t="str">
        <f aca="false">IF(AND(AND(Ziele!$B$18="Plan bereit",24&lt;=Ziele!$B$5),Ziele!C12&gt;0,D98&gt;=Ziele!C12),24,"")</f>
        <v/>
      </c>
      <c r="L98" s="6" t="str">
        <f aca="false">IF(AND(AND(Ziele!$B$18="Plan bereit",24&lt;=Ziele!$B$5),Ziele!C13&gt;0,E98&gt;=Ziele!C13),24,"")</f>
        <v/>
      </c>
      <c r="M98" s="6" t="str">
        <f aca="false">IF(AND(AND(Ziele!$B$18="Plan bereit",24&lt;=Ziele!$B$5),Ziele!C14&gt;0,F98&gt;=Ziele!C14),24,"")</f>
        <v/>
      </c>
      <c r="N98" s="6" t="str">
        <f aca="false">IF(AND(AND(Ziele!$B$18="Plan bereit",24&lt;=Ziele!$B$5),Ziele!C15&gt;0,G98&gt;=Ziele!C15),24,"")</f>
        <v/>
      </c>
    </row>
    <row r="99" customFormat="false" ht="22.5" hidden="false" customHeight="true" outlineLevel="0" collapsed="false">
      <c r="A99" s="6" t="n">
        <f aca="false">IF(AND(Ziele!$B$18="Plan bereit",25&lt;=Ziele!$B$5),25,"")</f>
        <v>25</v>
      </c>
      <c r="B99" s="7" t="n">
        <f aca="false">IF(AND(Ziele!$B$18="Plan bereit",25&lt;=Ziele!$B$5),ROUND(B98+E31,2),"")</f>
        <v>10000</v>
      </c>
      <c r="C99" s="7" t="n">
        <f aca="false">IF(AND(Ziele!$B$18="Plan bereit",25&lt;=Ziele!$B$5),ROUND(C98+F31,2),"")</f>
        <v>23850</v>
      </c>
      <c r="D99" s="7" t="n">
        <f aca="false">IF(AND(Ziele!$B$18="Plan bereit",25&lt;=Ziele!$B$5),ROUND(D98+G31,2),"")</f>
        <v>0</v>
      </c>
      <c r="E99" s="7" t="n">
        <f aca="false">IF(AND(Ziele!$B$18="Plan bereit",25&lt;=Ziele!$B$5),ROUND(E98+H31,2),"")</f>
        <v>0</v>
      </c>
      <c r="F99" s="7" t="n">
        <f aca="false">IF(AND(Ziele!$B$18="Plan bereit",25&lt;=Ziele!$B$5),ROUND(F98+I31,2),"")</f>
        <v>0</v>
      </c>
      <c r="G99" s="7" t="n">
        <f aca="false">IF(AND(Ziele!$B$18="Plan bereit",25&lt;=Ziele!$B$5),ROUND(G98+J31,2),"")</f>
        <v>0</v>
      </c>
      <c r="H99" s="7" t="n">
        <f aca="false">IF(AND(Ziele!$B$18="Plan bereit",25&lt;=Ziele!$B$5),ROUND(SUM(B99:G99),2),"")</f>
        <v>33850</v>
      </c>
      <c r="I99" s="6" t="n">
        <f aca="false">IF(AND(AND(Ziele!$B$18="Plan bereit",25&lt;=Ziele!$B$5),Ziele!C10&gt;0,B99&gt;=Ziele!C10),25,"")</f>
        <v>25</v>
      </c>
      <c r="J99" s="6" t="str">
        <f aca="false">IF(AND(AND(Ziele!$B$18="Plan bereit",25&lt;=Ziele!$B$5),Ziele!C11&gt;0,C99&gt;=Ziele!C11),25,"")</f>
        <v/>
      </c>
      <c r="K99" s="6" t="str">
        <f aca="false">IF(AND(AND(Ziele!$B$18="Plan bereit",25&lt;=Ziele!$B$5),Ziele!C12&gt;0,D99&gt;=Ziele!C12),25,"")</f>
        <v/>
      </c>
      <c r="L99" s="6" t="str">
        <f aca="false">IF(AND(AND(Ziele!$B$18="Plan bereit",25&lt;=Ziele!$B$5),Ziele!C13&gt;0,E99&gt;=Ziele!C13),25,"")</f>
        <v/>
      </c>
      <c r="M99" s="6" t="str">
        <f aca="false">IF(AND(AND(Ziele!$B$18="Plan bereit",25&lt;=Ziele!$B$5),Ziele!C14&gt;0,F99&gt;=Ziele!C14),25,"")</f>
        <v/>
      </c>
      <c r="N99" s="6" t="str">
        <f aca="false">IF(AND(AND(Ziele!$B$18="Plan bereit",25&lt;=Ziele!$B$5),Ziele!C15&gt;0,G99&gt;=Ziele!C15),25,"")</f>
        <v/>
      </c>
    </row>
    <row r="100" customFormat="false" ht="22.5" hidden="false" customHeight="true" outlineLevel="0" collapsed="false">
      <c r="A100" s="6" t="n">
        <f aca="false">IF(AND(Ziele!$B$18="Plan bereit",26&lt;=Ziele!$B$5),26,"")</f>
        <v>26</v>
      </c>
      <c r="B100" s="7" t="n">
        <f aca="false">IF(AND(Ziele!$B$18="Plan bereit",26&lt;=Ziele!$B$5),ROUND(B99+E32,2),"")</f>
        <v>10000</v>
      </c>
      <c r="C100" s="7" t="n">
        <f aca="false">IF(AND(Ziele!$B$18="Plan bereit",26&lt;=Ziele!$B$5),ROUND(C99+F32,2),"")</f>
        <v>24200</v>
      </c>
      <c r="D100" s="7" t="n">
        <f aca="false">IF(AND(Ziele!$B$18="Plan bereit",26&lt;=Ziele!$B$5),ROUND(D99+G32,2),"")</f>
        <v>0</v>
      </c>
      <c r="E100" s="7" t="n">
        <f aca="false">IF(AND(Ziele!$B$18="Plan bereit",26&lt;=Ziele!$B$5),ROUND(E99+H32,2),"")</f>
        <v>0</v>
      </c>
      <c r="F100" s="7" t="n">
        <f aca="false">IF(AND(Ziele!$B$18="Plan bereit",26&lt;=Ziele!$B$5),ROUND(F99+I32,2),"")</f>
        <v>0</v>
      </c>
      <c r="G100" s="7" t="n">
        <f aca="false">IF(AND(Ziele!$B$18="Plan bereit",26&lt;=Ziele!$B$5),ROUND(G99+J32,2),"")</f>
        <v>0</v>
      </c>
      <c r="H100" s="7" t="n">
        <f aca="false">IF(AND(Ziele!$B$18="Plan bereit",26&lt;=Ziele!$B$5),ROUND(SUM(B100:G100),2),"")</f>
        <v>34200</v>
      </c>
      <c r="I100" s="6" t="n">
        <f aca="false">IF(AND(AND(Ziele!$B$18="Plan bereit",26&lt;=Ziele!$B$5),Ziele!C10&gt;0,B100&gt;=Ziele!C10),26,"")</f>
        <v>26</v>
      </c>
      <c r="J100" s="6" t="str">
        <f aca="false">IF(AND(AND(Ziele!$B$18="Plan bereit",26&lt;=Ziele!$B$5),Ziele!C11&gt;0,C100&gt;=Ziele!C11),26,"")</f>
        <v/>
      </c>
      <c r="K100" s="6" t="str">
        <f aca="false">IF(AND(AND(Ziele!$B$18="Plan bereit",26&lt;=Ziele!$B$5),Ziele!C12&gt;0,D100&gt;=Ziele!C12),26,"")</f>
        <v/>
      </c>
      <c r="L100" s="6" t="str">
        <f aca="false">IF(AND(AND(Ziele!$B$18="Plan bereit",26&lt;=Ziele!$B$5),Ziele!C13&gt;0,E100&gt;=Ziele!C13),26,"")</f>
        <v/>
      </c>
      <c r="M100" s="6" t="str">
        <f aca="false">IF(AND(AND(Ziele!$B$18="Plan bereit",26&lt;=Ziele!$B$5),Ziele!C14&gt;0,F100&gt;=Ziele!C14),26,"")</f>
        <v/>
      </c>
      <c r="N100" s="6" t="str">
        <f aca="false">IF(AND(AND(Ziele!$B$18="Plan bereit",26&lt;=Ziele!$B$5),Ziele!C15&gt;0,G100&gt;=Ziele!C15),26,"")</f>
        <v/>
      </c>
    </row>
    <row r="101" customFormat="false" ht="22.5" hidden="false" customHeight="true" outlineLevel="0" collapsed="false">
      <c r="A101" s="6" t="n">
        <f aca="false">IF(AND(Ziele!$B$18="Plan bereit",27&lt;=Ziele!$B$5),27,"")</f>
        <v>27</v>
      </c>
      <c r="B101" s="7" t="n">
        <f aca="false">IF(AND(Ziele!$B$18="Plan bereit",27&lt;=Ziele!$B$5),ROUND(B100+E33,2),"")</f>
        <v>10000</v>
      </c>
      <c r="C101" s="7" t="n">
        <f aca="false">IF(AND(Ziele!$B$18="Plan bereit",27&lt;=Ziele!$B$5),ROUND(C100+F33,2),"")</f>
        <v>24550</v>
      </c>
      <c r="D101" s="7" t="n">
        <f aca="false">IF(AND(Ziele!$B$18="Plan bereit",27&lt;=Ziele!$B$5),ROUND(D100+G33,2),"")</f>
        <v>0</v>
      </c>
      <c r="E101" s="7" t="n">
        <f aca="false">IF(AND(Ziele!$B$18="Plan bereit",27&lt;=Ziele!$B$5),ROUND(E100+H33,2),"")</f>
        <v>0</v>
      </c>
      <c r="F101" s="7" t="n">
        <f aca="false">IF(AND(Ziele!$B$18="Plan bereit",27&lt;=Ziele!$B$5),ROUND(F100+I33,2),"")</f>
        <v>0</v>
      </c>
      <c r="G101" s="7" t="n">
        <f aca="false">IF(AND(Ziele!$B$18="Plan bereit",27&lt;=Ziele!$B$5),ROUND(G100+J33,2),"")</f>
        <v>0</v>
      </c>
      <c r="H101" s="7" t="n">
        <f aca="false">IF(AND(Ziele!$B$18="Plan bereit",27&lt;=Ziele!$B$5),ROUND(SUM(B101:G101),2),"")</f>
        <v>34550</v>
      </c>
      <c r="I101" s="6" t="n">
        <f aca="false">IF(AND(AND(Ziele!$B$18="Plan bereit",27&lt;=Ziele!$B$5),Ziele!C10&gt;0,B101&gt;=Ziele!C10),27,"")</f>
        <v>27</v>
      </c>
      <c r="J101" s="6" t="str">
        <f aca="false">IF(AND(AND(Ziele!$B$18="Plan bereit",27&lt;=Ziele!$B$5),Ziele!C11&gt;0,C101&gt;=Ziele!C11),27,"")</f>
        <v/>
      </c>
      <c r="K101" s="6" t="str">
        <f aca="false">IF(AND(AND(Ziele!$B$18="Plan bereit",27&lt;=Ziele!$B$5),Ziele!C12&gt;0,D101&gt;=Ziele!C12),27,"")</f>
        <v/>
      </c>
      <c r="L101" s="6" t="str">
        <f aca="false">IF(AND(AND(Ziele!$B$18="Plan bereit",27&lt;=Ziele!$B$5),Ziele!C13&gt;0,E101&gt;=Ziele!C13),27,"")</f>
        <v/>
      </c>
      <c r="M101" s="6" t="str">
        <f aca="false">IF(AND(AND(Ziele!$B$18="Plan bereit",27&lt;=Ziele!$B$5),Ziele!C14&gt;0,F101&gt;=Ziele!C14),27,"")</f>
        <v/>
      </c>
      <c r="N101" s="6" t="str">
        <f aca="false">IF(AND(AND(Ziele!$B$18="Plan bereit",27&lt;=Ziele!$B$5),Ziele!C15&gt;0,G101&gt;=Ziele!C15),27,"")</f>
        <v/>
      </c>
    </row>
    <row r="102" customFormat="false" ht="22.5" hidden="false" customHeight="true" outlineLevel="0" collapsed="false">
      <c r="A102" s="6" t="n">
        <f aca="false">IF(AND(Ziele!$B$18="Plan bereit",28&lt;=Ziele!$B$5),28,"")</f>
        <v>28</v>
      </c>
      <c r="B102" s="7" t="n">
        <f aca="false">IF(AND(Ziele!$B$18="Plan bereit",28&lt;=Ziele!$B$5),ROUND(B101+E34,2),"")</f>
        <v>10000</v>
      </c>
      <c r="C102" s="7" t="n">
        <f aca="false">IF(AND(Ziele!$B$18="Plan bereit",28&lt;=Ziele!$B$5),ROUND(C101+F34,2),"")</f>
        <v>24900</v>
      </c>
      <c r="D102" s="7" t="n">
        <f aca="false">IF(AND(Ziele!$B$18="Plan bereit",28&lt;=Ziele!$B$5),ROUND(D101+G34,2),"")</f>
        <v>0</v>
      </c>
      <c r="E102" s="7" t="n">
        <f aca="false">IF(AND(Ziele!$B$18="Plan bereit",28&lt;=Ziele!$B$5),ROUND(E101+H34,2),"")</f>
        <v>0</v>
      </c>
      <c r="F102" s="7" t="n">
        <f aca="false">IF(AND(Ziele!$B$18="Plan bereit",28&lt;=Ziele!$B$5),ROUND(F101+I34,2),"")</f>
        <v>0</v>
      </c>
      <c r="G102" s="7" t="n">
        <f aca="false">IF(AND(Ziele!$B$18="Plan bereit",28&lt;=Ziele!$B$5),ROUND(G101+J34,2),"")</f>
        <v>0</v>
      </c>
      <c r="H102" s="7" t="n">
        <f aca="false">IF(AND(Ziele!$B$18="Plan bereit",28&lt;=Ziele!$B$5),ROUND(SUM(B102:G102),2),"")</f>
        <v>34900</v>
      </c>
      <c r="I102" s="6" t="n">
        <f aca="false">IF(AND(AND(Ziele!$B$18="Plan bereit",28&lt;=Ziele!$B$5),Ziele!C10&gt;0,B102&gt;=Ziele!C10),28,"")</f>
        <v>28</v>
      </c>
      <c r="J102" s="6" t="str">
        <f aca="false">IF(AND(AND(Ziele!$B$18="Plan bereit",28&lt;=Ziele!$B$5),Ziele!C11&gt;0,C102&gt;=Ziele!C11),28,"")</f>
        <v/>
      </c>
      <c r="K102" s="6" t="str">
        <f aca="false">IF(AND(AND(Ziele!$B$18="Plan bereit",28&lt;=Ziele!$B$5),Ziele!C12&gt;0,D102&gt;=Ziele!C12),28,"")</f>
        <v/>
      </c>
      <c r="L102" s="6" t="str">
        <f aca="false">IF(AND(AND(Ziele!$B$18="Plan bereit",28&lt;=Ziele!$B$5),Ziele!C13&gt;0,E102&gt;=Ziele!C13),28,"")</f>
        <v/>
      </c>
      <c r="M102" s="6" t="str">
        <f aca="false">IF(AND(AND(Ziele!$B$18="Plan bereit",28&lt;=Ziele!$B$5),Ziele!C14&gt;0,F102&gt;=Ziele!C14),28,"")</f>
        <v/>
      </c>
      <c r="N102" s="6" t="str">
        <f aca="false">IF(AND(AND(Ziele!$B$18="Plan bereit",28&lt;=Ziele!$B$5),Ziele!C15&gt;0,G102&gt;=Ziele!C15),28,"")</f>
        <v/>
      </c>
    </row>
    <row r="103" customFormat="false" ht="22.5" hidden="false" customHeight="true" outlineLevel="0" collapsed="false">
      <c r="A103" s="6" t="n">
        <f aca="false">IF(AND(Ziele!$B$18="Plan bereit",29&lt;=Ziele!$B$5),29,"")</f>
        <v>29</v>
      </c>
      <c r="B103" s="7" t="n">
        <f aca="false">IF(AND(Ziele!$B$18="Plan bereit",29&lt;=Ziele!$B$5),ROUND(B102+E35,2),"")</f>
        <v>10000</v>
      </c>
      <c r="C103" s="7" t="n">
        <f aca="false">IF(AND(Ziele!$B$18="Plan bereit",29&lt;=Ziele!$B$5),ROUND(C102+F35,2),"")</f>
        <v>25250</v>
      </c>
      <c r="D103" s="7" t="n">
        <f aca="false">IF(AND(Ziele!$B$18="Plan bereit",29&lt;=Ziele!$B$5),ROUND(D102+G35,2),"")</f>
        <v>0</v>
      </c>
      <c r="E103" s="7" t="n">
        <f aca="false">IF(AND(Ziele!$B$18="Plan bereit",29&lt;=Ziele!$B$5),ROUND(E102+H35,2),"")</f>
        <v>0</v>
      </c>
      <c r="F103" s="7" t="n">
        <f aca="false">IF(AND(Ziele!$B$18="Plan bereit",29&lt;=Ziele!$B$5),ROUND(F102+I35,2),"")</f>
        <v>0</v>
      </c>
      <c r="G103" s="7" t="n">
        <f aca="false">IF(AND(Ziele!$B$18="Plan bereit",29&lt;=Ziele!$B$5),ROUND(G102+J35,2),"")</f>
        <v>0</v>
      </c>
      <c r="H103" s="7" t="n">
        <f aca="false">IF(AND(Ziele!$B$18="Plan bereit",29&lt;=Ziele!$B$5),ROUND(SUM(B103:G103),2),"")</f>
        <v>35250</v>
      </c>
      <c r="I103" s="6" t="n">
        <f aca="false">IF(AND(AND(Ziele!$B$18="Plan bereit",29&lt;=Ziele!$B$5),Ziele!C10&gt;0,B103&gt;=Ziele!C10),29,"")</f>
        <v>29</v>
      </c>
      <c r="J103" s="6" t="str">
        <f aca="false">IF(AND(AND(Ziele!$B$18="Plan bereit",29&lt;=Ziele!$B$5),Ziele!C11&gt;0,C103&gt;=Ziele!C11),29,"")</f>
        <v/>
      </c>
      <c r="K103" s="6" t="str">
        <f aca="false">IF(AND(AND(Ziele!$B$18="Plan bereit",29&lt;=Ziele!$B$5),Ziele!C12&gt;0,D103&gt;=Ziele!C12),29,"")</f>
        <v/>
      </c>
      <c r="L103" s="6" t="str">
        <f aca="false">IF(AND(AND(Ziele!$B$18="Plan bereit",29&lt;=Ziele!$B$5),Ziele!C13&gt;0,E103&gt;=Ziele!C13),29,"")</f>
        <v/>
      </c>
      <c r="M103" s="6" t="str">
        <f aca="false">IF(AND(AND(Ziele!$B$18="Plan bereit",29&lt;=Ziele!$B$5),Ziele!C14&gt;0,F103&gt;=Ziele!C14),29,"")</f>
        <v/>
      </c>
      <c r="N103" s="6" t="str">
        <f aca="false">IF(AND(AND(Ziele!$B$18="Plan bereit",29&lt;=Ziele!$B$5),Ziele!C15&gt;0,G103&gt;=Ziele!C15),29,"")</f>
        <v/>
      </c>
    </row>
    <row r="104" customFormat="false" ht="22.5" hidden="false" customHeight="true" outlineLevel="0" collapsed="false">
      <c r="A104" s="6" t="n">
        <f aca="false">IF(AND(Ziele!$B$18="Plan bereit",30&lt;=Ziele!$B$5),30,"")</f>
        <v>30</v>
      </c>
      <c r="B104" s="7" t="n">
        <f aca="false">IF(AND(Ziele!$B$18="Plan bereit",30&lt;=Ziele!$B$5),ROUND(B103+E36,2),"")</f>
        <v>10000</v>
      </c>
      <c r="C104" s="7" t="n">
        <f aca="false">IF(AND(Ziele!$B$18="Plan bereit",30&lt;=Ziele!$B$5),ROUND(C103+F36,2),"")</f>
        <v>25600</v>
      </c>
      <c r="D104" s="7" t="n">
        <f aca="false">IF(AND(Ziele!$B$18="Plan bereit",30&lt;=Ziele!$B$5),ROUND(D103+G36,2),"")</f>
        <v>0</v>
      </c>
      <c r="E104" s="7" t="n">
        <f aca="false">IF(AND(Ziele!$B$18="Plan bereit",30&lt;=Ziele!$B$5),ROUND(E103+H36,2),"")</f>
        <v>0</v>
      </c>
      <c r="F104" s="7" t="n">
        <f aca="false">IF(AND(Ziele!$B$18="Plan bereit",30&lt;=Ziele!$B$5),ROUND(F103+I36,2),"")</f>
        <v>0</v>
      </c>
      <c r="G104" s="7" t="n">
        <f aca="false">IF(AND(Ziele!$B$18="Plan bereit",30&lt;=Ziele!$B$5),ROUND(G103+J36,2),"")</f>
        <v>0</v>
      </c>
      <c r="H104" s="7" t="n">
        <f aca="false">IF(AND(Ziele!$B$18="Plan bereit",30&lt;=Ziele!$B$5),ROUND(SUM(B104:G104),2),"")</f>
        <v>35600</v>
      </c>
      <c r="I104" s="6" t="n">
        <f aca="false">IF(AND(AND(Ziele!$B$18="Plan bereit",30&lt;=Ziele!$B$5),Ziele!C10&gt;0,B104&gt;=Ziele!C10),30,"")</f>
        <v>30</v>
      </c>
      <c r="J104" s="6" t="str">
        <f aca="false">IF(AND(AND(Ziele!$B$18="Plan bereit",30&lt;=Ziele!$B$5),Ziele!C11&gt;0,C104&gt;=Ziele!C11),30,"")</f>
        <v/>
      </c>
      <c r="K104" s="6" t="str">
        <f aca="false">IF(AND(AND(Ziele!$B$18="Plan bereit",30&lt;=Ziele!$B$5),Ziele!C12&gt;0,D104&gt;=Ziele!C12),30,"")</f>
        <v/>
      </c>
      <c r="L104" s="6" t="str">
        <f aca="false">IF(AND(AND(Ziele!$B$18="Plan bereit",30&lt;=Ziele!$B$5),Ziele!C13&gt;0,E104&gt;=Ziele!C13),30,"")</f>
        <v/>
      </c>
      <c r="M104" s="6" t="str">
        <f aca="false">IF(AND(AND(Ziele!$B$18="Plan bereit",30&lt;=Ziele!$B$5),Ziele!C14&gt;0,F104&gt;=Ziele!C14),30,"")</f>
        <v/>
      </c>
      <c r="N104" s="6" t="str">
        <f aca="false">IF(AND(AND(Ziele!$B$18="Plan bereit",30&lt;=Ziele!$B$5),Ziele!C15&gt;0,G104&gt;=Ziele!C15),30,"")</f>
        <v/>
      </c>
    </row>
    <row r="105" customFormat="false" ht="22.5" hidden="false" customHeight="true" outlineLevel="0" collapsed="false">
      <c r="A105" s="6" t="n">
        <f aca="false">IF(AND(Ziele!$B$18="Plan bereit",31&lt;=Ziele!$B$5),31,"")</f>
        <v>31</v>
      </c>
      <c r="B105" s="7" t="n">
        <f aca="false">IF(AND(Ziele!$B$18="Plan bereit",31&lt;=Ziele!$B$5),ROUND(B104+E37,2),"")</f>
        <v>10000</v>
      </c>
      <c r="C105" s="7" t="n">
        <f aca="false">IF(AND(Ziele!$B$18="Plan bereit",31&lt;=Ziele!$B$5),ROUND(C104+F37,2),"")</f>
        <v>25950</v>
      </c>
      <c r="D105" s="7" t="n">
        <f aca="false">IF(AND(Ziele!$B$18="Plan bereit",31&lt;=Ziele!$B$5),ROUND(D104+G37,2),"")</f>
        <v>0</v>
      </c>
      <c r="E105" s="7" t="n">
        <f aca="false">IF(AND(Ziele!$B$18="Plan bereit",31&lt;=Ziele!$B$5),ROUND(E104+H37,2),"")</f>
        <v>0</v>
      </c>
      <c r="F105" s="7" t="n">
        <f aca="false">IF(AND(Ziele!$B$18="Plan bereit",31&lt;=Ziele!$B$5),ROUND(F104+I37,2),"")</f>
        <v>0</v>
      </c>
      <c r="G105" s="7" t="n">
        <f aca="false">IF(AND(Ziele!$B$18="Plan bereit",31&lt;=Ziele!$B$5),ROUND(G104+J37,2),"")</f>
        <v>0</v>
      </c>
      <c r="H105" s="7" t="n">
        <f aca="false">IF(AND(Ziele!$B$18="Plan bereit",31&lt;=Ziele!$B$5),ROUND(SUM(B105:G105),2),"")</f>
        <v>35950</v>
      </c>
      <c r="I105" s="6" t="n">
        <f aca="false">IF(AND(AND(Ziele!$B$18="Plan bereit",31&lt;=Ziele!$B$5),Ziele!C10&gt;0,B105&gt;=Ziele!C10),31,"")</f>
        <v>31</v>
      </c>
      <c r="J105" s="6" t="str">
        <f aca="false">IF(AND(AND(Ziele!$B$18="Plan bereit",31&lt;=Ziele!$B$5),Ziele!C11&gt;0,C105&gt;=Ziele!C11),31,"")</f>
        <v/>
      </c>
      <c r="K105" s="6" t="str">
        <f aca="false">IF(AND(AND(Ziele!$B$18="Plan bereit",31&lt;=Ziele!$B$5),Ziele!C12&gt;0,D105&gt;=Ziele!C12),31,"")</f>
        <v/>
      </c>
      <c r="L105" s="6" t="str">
        <f aca="false">IF(AND(AND(Ziele!$B$18="Plan bereit",31&lt;=Ziele!$B$5),Ziele!C13&gt;0,E105&gt;=Ziele!C13),31,"")</f>
        <v/>
      </c>
      <c r="M105" s="6" t="str">
        <f aca="false">IF(AND(AND(Ziele!$B$18="Plan bereit",31&lt;=Ziele!$B$5),Ziele!C14&gt;0,F105&gt;=Ziele!C14),31,"")</f>
        <v/>
      </c>
      <c r="N105" s="6" t="str">
        <f aca="false">IF(AND(AND(Ziele!$B$18="Plan bereit",31&lt;=Ziele!$B$5),Ziele!C15&gt;0,G105&gt;=Ziele!C15),31,"")</f>
        <v/>
      </c>
    </row>
    <row r="106" customFormat="false" ht="22.5" hidden="false" customHeight="true" outlineLevel="0" collapsed="false">
      <c r="A106" s="6" t="n">
        <f aca="false">IF(AND(Ziele!$B$18="Plan bereit",32&lt;=Ziele!$B$5),32,"")</f>
        <v>32</v>
      </c>
      <c r="B106" s="7" t="n">
        <f aca="false">IF(AND(Ziele!$B$18="Plan bereit",32&lt;=Ziele!$B$5),ROUND(B105+E38,2),"")</f>
        <v>10000</v>
      </c>
      <c r="C106" s="7" t="n">
        <f aca="false">IF(AND(Ziele!$B$18="Plan bereit",32&lt;=Ziele!$B$5),ROUND(C105+F38,2),"")</f>
        <v>26300</v>
      </c>
      <c r="D106" s="7" t="n">
        <f aca="false">IF(AND(Ziele!$B$18="Plan bereit",32&lt;=Ziele!$B$5),ROUND(D105+G38,2),"")</f>
        <v>0</v>
      </c>
      <c r="E106" s="7" t="n">
        <f aca="false">IF(AND(Ziele!$B$18="Plan bereit",32&lt;=Ziele!$B$5),ROUND(E105+H38,2),"")</f>
        <v>0</v>
      </c>
      <c r="F106" s="7" t="n">
        <f aca="false">IF(AND(Ziele!$B$18="Plan bereit",32&lt;=Ziele!$B$5),ROUND(F105+I38,2),"")</f>
        <v>0</v>
      </c>
      <c r="G106" s="7" t="n">
        <f aca="false">IF(AND(Ziele!$B$18="Plan bereit",32&lt;=Ziele!$B$5),ROUND(G105+J38,2),"")</f>
        <v>0</v>
      </c>
      <c r="H106" s="7" t="n">
        <f aca="false">IF(AND(Ziele!$B$18="Plan bereit",32&lt;=Ziele!$B$5),ROUND(SUM(B106:G106),2),"")</f>
        <v>36300</v>
      </c>
      <c r="I106" s="6" t="n">
        <f aca="false">IF(AND(AND(Ziele!$B$18="Plan bereit",32&lt;=Ziele!$B$5),Ziele!C10&gt;0,B106&gt;=Ziele!C10),32,"")</f>
        <v>32</v>
      </c>
      <c r="J106" s="6" t="str">
        <f aca="false">IF(AND(AND(Ziele!$B$18="Plan bereit",32&lt;=Ziele!$B$5),Ziele!C11&gt;0,C106&gt;=Ziele!C11),32,"")</f>
        <v/>
      </c>
      <c r="K106" s="6" t="str">
        <f aca="false">IF(AND(AND(Ziele!$B$18="Plan bereit",32&lt;=Ziele!$B$5),Ziele!C12&gt;0,D106&gt;=Ziele!C12),32,"")</f>
        <v/>
      </c>
      <c r="L106" s="6" t="str">
        <f aca="false">IF(AND(AND(Ziele!$B$18="Plan bereit",32&lt;=Ziele!$B$5),Ziele!C13&gt;0,E106&gt;=Ziele!C13),32,"")</f>
        <v/>
      </c>
      <c r="M106" s="6" t="str">
        <f aca="false">IF(AND(AND(Ziele!$B$18="Plan bereit",32&lt;=Ziele!$B$5),Ziele!C14&gt;0,F106&gt;=Ziele!C14),32,"")</f>
        <v/>
      </c>
      <c r="N106" s="6" t="str">
        <f aca="false">IF(AND(AND(Ziele!$B$18="Plan bereit",32&lt;=Ziele!$B$5),Ziele!C15&gt;0,G106&gt;=Ziele!C15),32,"")</f>
        <v/>
      </c>
    </row>
    <row r="107" customFormat="false" ht="22.5" hidden="false" customHeight="true" outlineLevel="0" collapsed="false">
      <c r="A107" s="6" t="n">
        <f aca="false">IF(AND(Ziele!$B$18="Plan bereit",33&lt;=Ziele!$B$5),33,"")</f>
        <v>33</v>
      </c>
      <c r="B107" s="7" t="n">
        <f aca="false">IF(AND(Ziele!$B$18="Plan bereit",33&lt;=Ziele!$B$5),ROUND(B106+E39,2),"")</f>
        <v>10000</v>
      </c>
      <c r="C107" s="7" t="n">
        <f aca="false">IF(AND(Ziele!$B$18="Plan bereit",33&lt;=Ziele!$B$5),ROUND(C106+F39,2),"")</f>
        <v>26650</v>
      </c>
      <c r="D107" s="7" t="n">
        <f aca="false">IF(AND(Ziele!$B$18="Plan bereit",33&lt;=Ziele!$B$5),ROUND(D106+G39,2),"")</f>
        <v>0</v>
      </c>
      <c r="E107" s="7" t="n">
        <f aca="false">IF(AND(Ziele!$B$18="Plan bereit",33&lt;=Ziele!$B$5),ROUND(E106+H39,2),"")</f>
        <v>0</v>
      </c>
      <c r="F107" s="7" t="n">
        <f aca="false">IF(AND(Ziele!$B$18="Plan bereit",33&lt;=Ziele!$B$5),ROUND(F106+I39,2),"")</f>
        <v>0</v>
      </c>
      <c r="G107" s="7" t="n">
        <f aca="false">IF(AND(Ziele!$B$18="Plan bereit",33&lt;=Ziele!$B$5),ROUND(G106+J39,2),"")</f>
        <v>0</v>
      </c>
      <c r="H107" s="7" t="n">
        <f aca="false">IF(AND(Ziele!$B$18="Plan bereit",33&lt;=Ziele!$B$5),ROUND(SUM(B107:G107),2),"")</f>
        <v>36650</v>
      </c>
      <c r="I107" s="6" t="n">
        <f aca="false">IF(AND(AND(Ziele!$B$18="Plan bereit",33&lt;=Ziele!$B$5),Ziele!C10&gt;0,B107&gt;=Ziele!C10),33,"")</f>
        <v>33</v>
      </c>
      <c r="J107" s="6" t="str">
        <f aca="false">IF(AND(AND(Ziele!$B$18="Plan bereit",33&lt;=Ziele!$B$5),Ziele!C11&gt;0,C107&gt;=Ziele!C11),33,"")</f>
        <v/>
      </c>
      <c r="K107" s="6" t="str">
        <f aca="false">IF(AND(AND(Ziele!$B$18="Plan bereit",33&lt;=Ziele!$B$5),Ziele!C12&gt;0,D107&gt;=Ziele!C12),33,"")</f>
        <v/>
      </c>
      <c r="L107" s="6" t="str">
        <f aca="false">IF(AND(AND(Ziele!$B$18="Plan bereit",33&lt;=Ziele!$B$5),Ziele!C13&gt;0,E107&gt;=Ziele!C13),33,"")</f>
        <v/>
      </c>
      <c r="M107" s="6" t="str">
        <f aca="false">IF(AND(AND(Ziele!$B$18="Plan bereit",33&lt;=Ziele!$B$5),Ziele!C14&gt;0,F107&gt;=Ziele!C14),33,"")</f>
        <v/>
      </c>
      <c r="N107" s="6" t="str">
        <f aca="false">IF(AND(AND(Ziele!$B$18="Plan bereit",33&lt;=Ziele!$B$5),Ziele!C15&gt;0,G107&gt;=Ziele!C15),33,"")</f>
        <v/>
      </c>
    </row>
    <row r="108" customFormat="false" ht="22.5" hidden="false" customHeight="true" outlineLevel="0" collapsed="false">
      <c r="A108" s="6" t="n">
        <f aca="false">IF(AND(Ziele!$B$18="Plan bereit",34&lt;=Ziele!$B$5),34,"")</f>
        <v>34</v>
      </c>
      <c r="B108" s="7" t="n">
        <f aca="false">IF(AND(Ziele!$B$18="Plan bereit",34&lt;=Ziele!$B$5),ROUND(B107+E40,2),"")</f>
        <v>10000</v>
      </c>
      <c r="C108" s="7" t="n">
        <f aca="false">IF(AND(Ziele!$B$18="Plan bereit",34&lt;=Ziele!$B$5),ROUND(C107+F40,2),"")</f>
        <v>27000</v>
      </c>
      <c r="D108" s="7" t="n">
        <f aca="false">IF(AND(Ziele!$B$18="Plan bereit",34&lt;=Ziele!$B$5),ROUND(D107+G40,2),"")</f>
        <v>0</v>
      </c>
      <c r="E108" s="7" t="n">
        <f aca="false">IF(AND(Ziele!$B$18="Plan bereit",34&lt;=Ziele!$B$5),ROUND(E107+H40,2),"")</f>
        <v>0</v>
      </c>
      <c r="F108" s="7" t="n">
        <f aca="false">IF(AND(Ziele!$B$18="Plan bereit",34&lt;=Ziele!$B$5),ROUND(F107+I40,2),"")</f>
        <v>0</v>
      </c>
      <c r="G108" s="7" t="n">
        <f aca="false">IF(AND(Ziele!$B$18="Plan bereit",34&lt;=Ziele!$B$5),ROUND(G107+J40,2),"")</f>
        <v>0</v>
      </c>
      <c r="H108" s="7" t="n">
        <f aca="false">IF(AND(Ziele!$B$18="Plan bereit",34&lt;=Ziele!$B$5),ROUND(SUM(B108:G108),2),"")</f>
        <v>37000</v>
      </c>
      <c r="I108" s="6" t="n">
        <f aca="false">IF(AND(AND(Ziele!$B$18="Plan bereit",34&lt;=Ziele!$B$5),Ziele!C10&gt;0,B108&gt;=Ziele!C10),34,"")</f>
        <v>34</v>
      </c>
      <c r="J108" s="6" t="str">
        <f aca="false">IF(AND(AND(Ziele!$B$18="Plan bereit",34&lt;=Ziele!$B$5),Ziele!C11&gt;0,C108&gt;=Ziele!C11),34,"")</f>
        <v/>
      </c>
      <c r="K108" s="6" t="str">
        <f aca="false">IF(AND(AND(Ziele!$B$18="Plan bereit",34&lt;=Ziele!$B$5),Ziele!C12&gt;0,D108&gt;=Ziele!C12),34,"")</f>
        <v/>
      </c>
      <c r="L108" s="6" t="str">
        <f aca="false">IF(AND(AND(Ziele!$B$18="Plan bereit",34&lt;=Ziele!$B$5),Ziele!C13&gt;0,E108&gt;=Ziele!C13),34,"")</f>
        <v/>
      </c>
      <c r="M108" s="6" t="str">
        <f aca="false">IF(AND(AND(Ziele!$B$18="Plan bereit",34&lt;=Ziele!$B$5),Ziele!C14&gt;0,F108&gt;=Ziele!C14),34,"")</f>
        <v/>
      </c>
      <c r="N108" s="6" t="str">
        <f aca="false">IF(AND(AND(Ziele!$B$18="Plan bereit",34&lt;=Ziele!$B$5),Ziele!C15&gt;0,G108&gt;=Ziele!C15),34,"")</f>
        <v/>
      </c>
    </row>
    <row r="109" customFormat="false" ht="22.5" hidden="false" customHeight="true" outlineLevel="0" collapsed="false">
      <c r="A109" s="6" t="n">
        <f aca="false">IF(AND(Ziele!$B$18="Plan bereit",35&lt;=Ziele!$B$5),35,"")</f>
        <v>35</v>
      </c>
      <c r="B109" s="7" t="n">
        <f aca="false">IF(AND(Ziele!$B$18="Plan bereit",35&lt;=Ziele!$B$5),ROUND(B108+E41,2),"")</f>
        <v>10000</v>
      </c>
      <c r="C109" s="7" t="n">
        <f aca="false">IF(AND(Ziele!$B$18="Plan bereit",35&lt;=Ziele!$B$5),ROUND(C108+F41,2),"")</f>
        <v>27350</v>
      </c>
      <c r="D109" s="7" t="n">
        <f aca="false">IF(AND(Ziele!$B$18="Plan bereit",35&lt;=Ziele!$B$5),ROUND(D108+G41,2),"")</f>
        <v>0</v>
      </c>
      <c r="E109" s="7" t="n">
        <f aca="false">IF(AND(Ziele!$B$18="Plan bereit",35&lt;=Ziele!$B$5),ROUND(E108+H41,2),"")</f>
        <v>0</v>
      </c>
      <c r="F109" s="7" t="n">
        <f aca="false">IF(AND(Ziele!$B$18="Plan bereit",35&lt;=Ziele!$B$5),ROUND(F108+I41,2),"")</f>
        <v>0</v>
      </c>
      <c r="G109" s="7" t="n">
        <f aca="false">IF(AND(Ziele!$B$18="Plan bereit",35&lt;=Ziele!$B$5),ROUND(G108+J41,2),"")</f>
        <v>0</v>
      </c>
      <c r="H109" s="7" t="n">
        <f aca="false">IF(AND(Ziele!$B$18="Plan bereit",35&lt;=Ziele!$B$5),ROUND(SUM(B109:G109),2),"")</f>
        <v>37350</v>
      </c>
      <c r="I109" s="6" t="n">
        <f aca="false">IF(AND(AND(Ziele!$B$18="Plan bereit",35&lt;=Ziele!$B$5),Ziele!C10&gt;0,B109&gt;=Ziele!C10),35,"")</f>
        <v>35</v>
      </c>
      <c r="J109" s="6" t="str">
        <f aca="false">IF(AND(AND(Ziele!$B$18="Plan bereit",35&lt;=Ziele!$B$5),Ziele!C11&gt;0,C109&gt;=Ziele!C11),35,"")</f>
        <v/>
      </c>
      <c r="K109" s="6" t="str">
        <f aca="false">IF(AND(AND(Ziele!$B$18="Plan bereit",35&lt;=Ziele!$B$5),Ziele!C12&gt;0,D109&gt;=Ziele!C12),35,"")</f>
        <v/>
      </c>
      <c r="L109" s="6" t="str">
        <f aca="false">IF(AND(AND(Ziele!$B$18="Plan bereit",35&lt;=Ziele!$B$5),Ziele!C13&gt;0,E109&gt;=Ziele!C13),35,"")</f>
        <v/>
      </c>
      <c r="M109" s="6" t="str">
        <f aca="false">IF(AND(AND(Ziele!$B$18="Plan bereit",35&lt;=Ziele!$B$5),Ziele!C14&gt;0,F109&gt;=Ziele!C14),35,"")</f>
        <v/>
      </c>
      <c r="N109" s="6" t="str">
        <f aca="false">IF(AND(AND(Ziele!$B$18="Plan bereit",35&lt;=Ziele!$B$5),Ziele!C15&gt;0,G109&gt;=Ziele!C15),35,"")</f>
        <v/>
      </c>
    </row>
    <row r="110" customFormat="false" ht="22.5" hidden="false" customHeight="true" outlineLevel="0" collapsed="false">
      <c r="A110" s="6" t="n">
        <f aca="false">IF(AND(Ziele!$B$18="Plan bereit",36&lt;=Ziele!$B$5),36,"")</f>
        <v>36</v>
      </c>
      <c r="B110" s="7" t="n">
        <f aca="false">IF(AND(Ziele!$B$18="Plan bereit",36&lt;=Ziele!$B$5),ROUND(B109+E42,2),"")</f>
        <v>10000</v>
      </c>
      <c r="C110" s="7" t="n">
        <f aca="false">IF(AND(Ziele!$B$18="Plan bereit",36&lt;=Ziele!$B$5),ROUND(C109+F42,2),"")</f>
        <v>27700</v>
      </c>
      <c r="D110" s="7" t="n">
        <f aca="false">IF(AND(Ziele!$B$18="Plan bereit",36&lt;=Ziele!$B$5),ROUND(D109+G42,2),"")</f>
        <v>0</v>
      </c>
      <c r="E110" s="7" t="n">
        <f aca="false">IF(AND(Ziele!$B$18="Plan bereit",36&lt;=Ziele!$B$5),ROUND(E109+H42,2),"")</f>
        <v>0</v>
      </c>
      <c r="F110" s="7" t="n">
        <f aca="false">IF(AND(Ziele!$B$18="Plan bereit",36&lt;=Ziele!$B$5),ROUND(F109+I42,2),"")</f>
        <v>0</v>
      </c>
      <c r="G110" s="7" t="n">
        <f aca="false">IF(AND(Ziele!$B$18="Plan bereit",36&lt;=Ziele!$B$5),ROUND(G109+J42,2),"")</f>
        <v>0</v>
      </c>
      <c r="H110" s="7" t="n">
        <f aca="false">IF(AND(Ziele!$B$18="Plan bereit",36&lt;=Ziele!$B$5),ROUND(SUM(B110:G110),2),"")</f>
        <v>37700</v>
      </c>
      <c r="I110" s="6" t="n">
        <f aca="false">IF(AND(AND(Ziele!$B$18="Plan bereit",36&lt;=Ziele!$B$5),Ziele!C10&gt;0,B110&gt;=Ziele!C10),36,"")</f>
        <v>36</v>
      </c>
      <c r="J110" s="6" t="str">
        <f aca="false">IF(AND(AND(Ziele!$B$18="Plan bereit",36&lt;=Ziele!$B$5),Ziele!C11&gt;0,C110&gt;=Ziele!C11),36,"")</f>
        <v/>
      </c>
      <c r="K110" s="6" t="str">
        <f aca="false">IF(AND(AND(Ziele!$B$18="Plan bereit",36&lt;=Ziele!$B$5),Ziele!C12&gt;0,D110&gt;=Ziele!C12),36,"")</f>
        <v/>
      </c>
      <c r="L110" s="6" t="str">
        <f aca="false">IF(AND(AND(Ziele!$B$18="Plan bereit",36&lt;=Ziele!$B$5),Ziele!C13&gt;0,E110&gt;=Ziele!C13),36,"")</f>
        <v/>
      </c>
      <c r="M110" s="6" t="str">
        <f aca="false">IF(AND(AND(Ziele!$B$18="Plan bereit",36&lt;=Ziele!$B$5),Ziele!C14&gt;0,F110&gt;=Ziele!C14),36,"")</f>
        <v/>
      </c>
      <c r="N110" s="6" t="str">
        <f aca="false">IF(AND(AND(Ziele!$B$18="Plan bereit",36&lt;=Ziele!$B$5),Ziele!C15&gt;0,G110&gt;=Ziele!C15),36,"")</f>
        <v/>
      </c>
    </row>
    <row r="111" customFormat="false" ht="22.5" hidden="false" customHeight="true" outlineLevel="0" collapsed="false">
      <c r="A111" s="6" t="n">
        <f aca="false">IF(AND(Ziele!$B$18="Plan bereit",37&lt;=Ziele!$B$5),37,"")</f>
        <v>37</v>
      </c>
      <c r="B111" s="7" t="n">
        <f aca="false">IF(AND(Ziele!$B$18="Plan bereit",37&lt;=Ziele!$B$5),ROUND(B110+E43,2),"")</f>
        <v>10000</v>
      </c>
      <c r="C111" s="7" t="n">
        <f aca="false">IF(AND(Ziele!$B$18="Plan bereit",37&lt;=Ziele!$B$5),ROUND(C110+F43,2),"")</f>
        <v>28050</v>
      </c>
      <c r="D111" s="7" t="n">
        <f aca="false">IF(AND(Ziele!$B$18="Plan bereit",37&lt;=Ziele!$B$5),ROUND(D110+G43,2),"")</f>
        <v>0</v>
      </c>
      <c r="E111" s="7" t="n">
        <f aca="false">IF(AND(Ziele!$B$18="Plan bereit",37&lt;=Ziele!$B$5),ROUND(E110+H43,2),"")</f>
        <v>0</v>
      </c>
      <c r="F111" s="7" t="n">
        <f aca="false">IF(AND(Ziele!$B$18="Plan bereit",37&lt;=Ziele!$B$5),ROUND(F110+I43,2),"")</f>
        <v>0</v>
      </c>
      <c r="G111" s="7" t="n">
        <f aca="false">IF(AND(Ziele!$B$18="Plan bereit",37&lt;=Ziele!$B$5),ROUND(G110+J43,2),"")</f>
        <v>0</v>
      </c>
      <c r="H111" s="7" t="n">
        <f aca="false">IF(AND(Ziele!$B$18="Plan bereit",37&lt;=Ziele!$B$5),ROUND(SUM(B111:G111),2),"")</f>
        <v>38050</v>
      </c>
      <c r="I111" s="6" t="n">
        <f aca="false">IF(AND(AND(Ziele!$B$18="Plan bereit",37&lt;=Ziele!$B$5),Ziele!C10&gt;0,B111&gt;=Ziele!C10),37,"")</f>
        <v>37</v>
      </c>
      <c r="J111" s="6" t="str">
        <f aca="false">IF(AND(AND(Ziele!$B$18="Plan bereit",37&lt;=Ziele!$B$5),Ziele!C11&gt;0,C111&gt;=Ziele!C11),37,"")</f>
        <v/>
      </c>
      <c r="K111" s="6" t="str">
        <f aca="false">IF(AND(AND(Ziele!$B$18="Plan bereit",37&lt;=Ziele!$B$5),Ziele!C12&gt;0,D111&gt;=Ziele!C12),37,"")</f>
        <v/>
      </c>
      <c r="L111" s="6" t="str">
        <f aca="false">IF(AND(AND(Ziele!$B$18="Plan bereit",37&lt;=Ziele!$B$5),Ziele!C13&gt;0,E111&gt;=Ziele!C13),37,"")</f>
        <v/>
      </c>
      <c r="M111" s="6" t="str">
        <f aca="false">IF(AND(AND(Ziele!$B$18="Plan bereit",37&lt;=Ziele!$B$5),Ziele!C14&gt;0,F111&gt;=Ziele!C14),37,"")</f>
        <v/>
      </c>
      <c r="N111" s="6" t="str">
        <f aca="false">IF(AND(AND(Ziele!$B$18="Plan bereit",37&lt;=Ziele!$B$5),Ziele!C15&gt;0,G111&gt;=Ziele!C15),37,"")</f>
        <v/>
      </c>
    </row>
    <row r="112" customFormat="false" ht="22.5" hidden="false" customHeight="true" outlineLevel="0" collapsed="false">
      <c r="A112" s="6" t="n">
        <f aca="false">IF(AND(Ziele!$B$18="Plan bereit",38&lt;=Ziele!$B$5),38,"")</f>
        <v>38</v>
      </c>
      <c r="B112" s="7" t="n">
        <f aca="false">IF(AND(Ziele!$B$18="Plan bereit",38&lt;=Ziele!$B$5),ROUND(B111+E44,2),"")</f>
        <v>10000</v>
      </c>
      <c r="C112" s="7" t="n">
        <f aca="false">IF(AND(Ziele!$B$18="Plan bereit",38&lt;=Ziele!$B$5),ROUND(C111+F44,2),"")</f>
        <v>28400</v>
      </c>
      <c r="D112" s="7" t="n">
        <f aca="false">IF(AND(Ziele!$B$18="Plan bereit",38&lt;=Ziele!$B$5),ROUND(D111+G44,2),"")</f>
        <v>0</v>
      </c>
      <c r="E112" s="7" t="n">
        <f aca="false">IF(AND(Ziele!$B$18="Plan bereit",38&lt;=Ziele!$B$5),ROUND(E111+H44,2),"")</f>
        <v>0</v>
      </c>
      <c r="F112" s="7" t="n">
        <f aca="false">IF(AND(Ziele!$B$18="Plan bereit",38&lt;=Ziele!$B$5),ROUND(F111+I44,2),"")</f>
        <v>0</v>
      </c>
      <c r="G112" s="7" t="n">
        <f aca="false">IF(AND(Ziele!$B$18="Plan bereit",38&lt;=Ziele!$B$5),ROUND(G111+J44,2),"")</f>
        <v>0</v>
      </c>
      <c r="H112" s="7" t="n">
        <f aca="false">IF(AND(Ziele!$B$18="Plan bereit",38&lt;=Ziele!$B$5),ROUND(SUM(B112:G112),2),"")</f>
        <v>38400</v>
      </c>
      <c r="I112" s="6" t="n">
        <f aca="false">IF(AND(AND(Ziele!$B$18="Plan bereit",38&lt;=Ziele!$B$5),Ziele!C10&gt;0,B112&gt;=Ziele!C10),38,"")</f>
        <v>38</v>
      </c>
      <c r="J112" s="6" t="str">
        <f aca="false">IF(AND(AND(Ziele!$B$18="Plan bereit",38&lt;=Ziele!$B$5),Ziele!C11&gt;0,C112&gt;=Ziele!C11),38,"")</f>
        <v/>
      </c>
      <c r="K112" s="6" t="str">
        <f aca="false">IF(AND(AND(Ziele!$B$18="Plan bereit",38&lt;=Ziele!$B$5),Ziele!C12&gt;0,D112&gt;=Ziele!C12),38,"")</f>
        <v/>
      </c>
      <c r="L112" s="6" t="str">
        <f aca="false">IF(AND(AND(Ziele!$B$18="Plan bereit",38&lt;=Ziele!$B$5),Ziele!C13&gt;0,E112&gt;=Ziele!C13),38,"")</f>
        <v/>
      </c>
      <c r="M112" s="6" t="str">
        <f aca="false">IF(AND(AND(Ziele!$B$18="Plan bereit",38&lt;=Ziele!$B$5),Ziele!C14&gt;0,F112&gt;=Ziele!C14),38,"")</f>
        <v/>
      </c>
      <c r="N112" s="6" t="str">
        <f aca="false">IF(AND(AND(Ziele!$B$18="Plan bereit",38&lt;=Ziele!$B$5),Ziele!C15&gt;0,G112&gt;=Ziele!C15),38,"")</f>
        <v/>
      </c>
    </row>
    <row r="113" customFormat="false" ht="22.5" hidden="false" customHeight="true" outlineLevel="0" collapsed="false">
      <c r="A113" s="6" t="n">
        <f aca="false">IF(AND(Ziele!$B$18="Plan bereit",39&lt;=Ziele!$B$5),39,"")</f>
        <v>39</v>
      </c>
      <c r="B113" s="7" t="n">
        <f aca="false">IF(AND(Ziele!$B$18="Plan bereit",39&lt;=Ziele!$B$5),ROUND(B112+E45,2),"")</f>
        <v>10000</v>
      </c>
      <c r="C113" s="7" t="n">
        <f aca="false">IF(AND(Ziele!$B$18="Plan bereit",39&lt;=Ziele!$B$5),ROUND(C112+F45,2),"")</f>
        <v>28750</v>
      </c>
      <c r="D113" s="7" t="n">
        <f aca="false">IF(AND(Ziele!$B$18="Plan bereit",39&lt;=Ziele!$B$5),ROUND(D112+G45,2),"")</f>
        <v>0</v>
      </c>
      <c r="E113" s="7" t="n">
        <f aca="false">IF(AND(Ziele!$B$18="Plan bereit",39&lt;=Ziele!$B$5),ROUND(E112+H45,2),"")</f>
        <v>0</v>
      </c>
      <c r="F113" s="7" t="n">
        <f aca="false">IF(AND(Ziele!$B$18="Plan bereit",39&lt;=Ziele!$B$5),ROUND(F112+I45,2),"")</f>
        <v>0</v>
      </c>
      <c r="G113" s="7" t="n">
        <f aca="false">IF(AND(Ziele!$B$18="Plan bereit",39&lt;=Ziele!$B$5),ROUND(G112+J45,2),"")</f>
        <v>0</v>
      </c>
      <c r="H113" s="7" t="n">
        <f aca="false">IF(AND(Ziele!$B$18="Plan bereit",39&lt;=Ziele!$B$5),ROUND(SUM(B113:G113),2),"")</f>
        <v>38750</v>
      </c>
      <c r="I113" s="6" t="n">
        <f aca="false">IF(AND(AND(Ziele!$B$18="Plan bereit",39&lt;=Ziele!$B$5),Ziele!C10&gt;0,B113&gt;=Ziele!C10),39,"")</f>
        <v>39</v>
      </c>
      <c r="J113" s="6" t="str">
        <f aca="false">IF(AND(AND(Ziele!$B$18="Plan bereit",39&lt;=Ziele!$B$5),Ziele!C11&gt;0,C113&gt;=Ziele!C11),39,"")</f>
        <v/>
      </c>
      <c r="K113" s="6" t="str">
        <f aca="false">IF(AND(AND(Ziele!$B$18="Plan bereit",39&lt;=Ziele!$B$5),Ziele!C12&gt;0,D113&gt;=Ziele!C12),39,"")</f>
        <v/>
      </c>
      <c r="L113" s="6" t="str">
        <f aca="false">IF(AND(AND(Ziele!$B$18="Plan bereit",39&lt;=Ziele!$B$5),Ziele!C13&gt;0,E113&gt;=Ziele!C13),39,"")</f>
        <v/>
      </c>
      <c r="M113" s="6" t="str">
        <f aca="false">IF(AND(AND(Ziele!$B$18="Plan bereit",39&lt;=Ziele!$B$5),Ziele!C14&gt;0,F113&gt;=Ziele!C14),39,"")</f>
        <v/>
      </c>
      <c r="N113" s="6" t="str">
        <f aca="false">IF(AND(AND(Ziele!$B$18="Plan bereit",39&lt;=Ziele!$B$5),Ziele!C15&gt;0,G113&gt;=Ziele!C15),39,"")</f>
        <v/>
      </c>
    </row>
    <row r="114" customFormat="false" ht="22.5" hidden="false" customHeight="true" outlineLevel="0" collapsed="false">
      <c r="A114" s="6" t="n">
        <f aca="false">IF(AND(Ziele!$B$18="Plan bereit",40&lt;=Ziele!$B$5),40,"")</f>
        <v>40</v>
      </c>
      <c r="B114" s="7" t="n">
        <f aca="false">IF(AND(Ziele!$B$18="Plan bereit",40&lt;=Ziele!$B$5),ROUND(B113+E46,2),"")</f>
        <v>10000</v>
      </c>
      <c r="C114" s="7" t="n">
        <f aca="false">IF(AND(Ziele!$B$18="Plan bereit",40&lt;=Ziele!$B$5),ROUND(C113+F46,2),"")</f>
        <v>29100</v>
      </c>
      <c r="D114" s="7" t="n">
        <f aca="false">IF(AND(Ziele!$B$18="Plan bereit",40&lt;=Ziele!$B$5),ROUND(D113+G46,2),"")</f>
        <v>0</v>
      </c>
      <c r="E114" s="7" t="n">
        <f aca="false">IF(AND(Ziele!$B$18="Plan bereit",40&lt;=Ziele!$B$5),ROUND(E113+H46,2),"")</f>
        <v>0</v>
      </c>
      <c r="F114" s="7" t="n">
        <f aca="false">IF(AND(Ziele!$B$18="Plan bereit",40&lt;=Ziele!$B$5),ROUND(F113+I46,2),"")</f>
        <v>0</v>
      </c>
      <c r="G114" s="7" t="n">
        <f aca="false">IF(AND(Ziele!$B$18="Plan bereit",40&lt;=Ziele!$B$5),ROUND(G113+J46,2),"")</f>
        <v>0</v>
      </c>
      <c r="H114" s="7" t="n">
        <f aca="false">IF(AND(Ziele!$B$18="Plan bereit",40&lt;=Ziele!$B$5),ROUND(SUM(B114:G114),2),"")</f>
        <v>39100</v>
      </c>
      <c r="I114" s="6" t="n">
        <f aca="false">IF(AND(AND(Ziele!$B$18="Plan bereit",40&lt;=Ziele!$B$5),Ziele!C10&gt;0,B114&gt;=Ziele!C10),40,"")</f>
        <v>40</v>
      </c>
      <c r="J114" s="6" t="str">
        <f aca="false">IF(AND(AND(Ziele!$B$18="Plan bereit",40&lt;=Ziele!$B$5),Ziele!C11&gt;0,C114&gt;=Ziele!C11),40,"")</f>
        <v/>
      </c>
      <c r="K114" s="6" t="str">
        <f aca="false">IF(AND(AND(Ziele!$B$18="Plan bereit",40&lt;=Ziele!$B$5),Ziele!C12&gt;0,D114&gt;=Ziele!C12),40,"")</f>
        <v/>
      </c>
      <c r="L114" s="6" t="str">
        <f aca="false">IF(AND(AND(Ziele!$B$18="Plan bereit",40&lt;=Ziele!$B$5),Ziele!C13&gt;0,E114&gt;=Ziele!C13),40,"")</f>
        <v/>
      </c>
      <c r="M114" s="6" t="str">
        <f aca="false">IF(AND(AND(Ziele!$B$18="Plan bereit",40&lt;=Ziele!$B$5),Ziele!C14&gt;0,F114&gt;=Ziele!C14),40,"")</f>
        <v/>
      </c>
      <c r="N114" s="6" t="str">
        <f aca="false">IF(AND(AND(Ziele!$B$18="Plan bereit",40&lt;=Ziele!$B$5),Ziele!C15&gt;0,G114&gt;=Ziele!C15),40,"")</f>
        <v/>
      </c>
    </row>
    <row r="115" customFormat="false" ht="22.5" hidden="false" customHeight="true" outlineLevel="0" collapsed="false">
      <c r="A115" s="6" t="n">
        <f aca="false">IF(AND(Ziele!$B$18="Plan bereit",41&lt;=Ziele!$B$5),41,"")</f>
        <v>41</v>
      </c>
      <c r="B115" s="7" t="n">
        <f aca="false">IF(AND(Ziele!$B$18="Plan bereit",41&lt;=Ziele!$B$5),ROUND(B114+E47,2),"")</f>
        <v>10000</v>
      </c>
      <c r="C115" s="7" t="n">
        <f aca="false">IF(AND(Ziele!$B$18="Plan bereit",41&lt;=Ziele!$B$5),ROUND(C114+F47,2),"")</f>
        <v>29450</v>
      </c>
      <c r="D115" s="7" t="n">
        <f aca="false">IF(AND(Ziele!$B$18="Plan bereit",41&lt;=Ziele!$B$5),ROUND(D114+G47,2),"")</f>
        <v>0</v>
      </c>
      <c r="E115" s="7" t="n">
        <f aca="false">IF(AND(Ziele!$B$18="Plan bereit",41&lt;=Ziele!$B$5),ROUND(E114+H47,2),"")</f>
        <v>0</v>
      </c>
      <c r="F115" s="7" t="n">
        <f aca="false">IF(AND(Ziele!$B$18="Plan bereit",41&lt;=Ziele!$B$5),ROUND(F114+I47,2),"")</f>
        <v>0</v>
      </c>
      <c r="G115" s="7" t="n">
        <f aca="false">IF(AND(Ziele!$B$18="Plan bereit",41&lt;=Ziele!$B$5),ROUND(G114+J47,2),"")</f>
        <v>0</v>
      </c>
      <c r="H115" s="7" t="n">
        <f aca="false">IF(AND(Ziele!$B$18="Plan bereit",41&lt;=Ziele!$B$5),ROUND(SUM(B115:G115),2),"")</f>
        <v>39450</v>
      </c>
      <c r="I115" s="6" t="n">
        <f aca="false">IF(AND(AND(Ziele!$B$18="Plan bereit",41&lt;=Ziele!$B$5),Ziele!C10&gt;0,B115&gt;=Ziele!C10),41,"")</f>
        <v>41</v>
      </c>
      <c r="J115" s="6" t="str">
        <f aca="false">IF(AND(AND(Ziele!$B$18="Plan bereit",41&lt;=Ziele!$B$5),Ziele!C11&gt;0,C115&gt;=Ziele!C11),41,"")</f>
        <v/>
      </c>
      <c r="K115" s="6" t="str">
        <f aca="false">IF(AND(AND(Ziele!$B$18="Plan bereit",41&lt;=Ziele!$B$5),Ziele!C12&gt;0,D115&gt;=Ziele!C12),41,"")</f>
        <v/>
      </c>
      <c r="L115" s="6" t="str">
        <f aca="false">IF(AND(AND(Ziele!$B$18="Plan bereit",41&lt;=Ziele!$B$5),Ziele!C13&gt;0,E115&gt;=Ziele!C13),41,"")</f>
        <v/>
      </c>
      <c r="M115" s="6" t="str">
        <f aca="false">IF(AND(AND(Ziele!$B$18="Plan bereit",41&lt;=Ziele!$B$5),Ziele!C14&gt;0,F115&gt;=Ziele!C14),41,"")</f>
        <v/>
      </c>
      <c r="N115" s="6" t="str">
        <f aca="false">IF(AND(AND(Ziele!$B$18="Plan bereit",41&lt;=Ziele!$B$5),Ziele!C15&gt;0,G115&gt;=Ziele!C15),41,"")</f>
        <v/>
      </c>
    </row>
    <row r="116" customFormat="false" ht="22.5" hidden="false" customHeight="true" outlineLevel="0" collapsed="false">
      <c r="A116" s="6" t="n">
        <f aca="false">IF(AND(Ziele!$B$18="Plan bereit",42&lt;=Ziele!$B$5),42,"")</f>
        <v>42</v>
      </c>
      <c r="B116" s="7" t="n">
        <f aca="false">IF(AND(Ziele!$B$18="Plan bereit",42&lt;=Ziele!$B$5),ROUND(B115+E48,2),"")</f>
        <v>10000</v>
      </c>
      <c r="C116" s="7" t="n">
        <f aca="false">IF(AND(Ziele!$B$18="Plan bereit",42&lt;=Ziele!$B$5),ROUND(C115+F48,2),"")</f>
        <v>29800</v>
      </c>
      <c r="D116" s="7" t="n">
        <f aca="false">IF(AND(Ziele!$B$18="Plan bereit",42&lt;=Ziele!$B$5),ROUND(D115+G48,2),"")</f>
        <v>0</v>
      </c>
      <c r="E116" s="7" t="n">
        <f aca="false">IF(AND(Ziele!$B$18="Plan bereit",42&lt;=Ziele!$B$5),ROUND(E115+H48,2),"")</f>
        <v>0</v>
      </c>
      <c r="F116" s="7" t="n">
        <f aca="false">IF(AND(Ziele!$B$18="Plan bereit",42&lt;=Ziele!$B$5),ROUND(F115+I48,2),"")</f>
        <v>0</v>
      </c>
      <c r="G116" s="7" t="n">
        <f aca="false">IF(AND(Ziele!$B$18="Plan bereit",42&lt;=Ziele!$B$5),ROUND(G115+J48,2),"")</f>
        <v>0</v>
      </c>
      <c r="H116" s="7" t="n">
        <f aca="false">IF(AND(Ziele!$B$18="Plan bereit",42&lt;=Ziele!$B$5),ROUND(SUM(B116:G116),2),"")</f>
        <v>39800</v>
      </c>
      <c r="I116" s="6" t="n">
        <f aca="false">IF(AND(AND(Ziele!$B$18="Plan bereit",42&lt;=Ziele!$B$5),Ziele!C10&gt;0,B116&gt;=Ziele!C10),42,"")</f>
        <v>42</v>
      </c>
      <c r="J116" s="6" t="str">
        <f aca="false">IF(AND(AND(Ziele!$B$18="Plan bereit",42&lt;=Ziele!$B$5),Ziele!C11&gt;0,C116&gt;=Ziele!C11),42,"")</f>
        <v/>
      </c>
      <c r="K116" s="6" t="str">
        <f aca="false">IF(AND(AND(Ziele!$B$18="Plan bereit",42&lt;=Ziele!$B$5),Ziele!C12&gt;0,D116&gt;=Ziele!C12),42,"")</f>
        <v/>
      </c>
      <c r="L116" s="6" t="str">
        <f aca="false">IF(AND(AND(Ziele!$B$18="Plan bereit",42&lt;=Ziele!$B$5),Ziele!C13&gt;0,E116&gt;=Ziele!C13),42,"")</f>
        <v/>
      </c>
      <c r="M116" s="6" t="str">
        <f aca="false">IF(AND(AND(Ziele!$B$18="Plan bereit",42&lt;=Ziele!$B$5),Ziele!C14&gt;0,F116&gt;=Ziele!C14),42,"")</f>
        <v/>
      </c>
      <c r="N116" s="6" t="str">
        <f aca="false">IF(AND(AND(Ziele!$B$18="Plan bereit",42&lt;=Ziele!$B$5),Ziele!C15&gt;0,G116&gt;=Ziele!C15),42,"")</f>
        <v/>
      </c>
    </row>
    <row r="117" customFormat="false" ht="22.5" hidden="false" customHeight="true" outlineLevel="0" collapsed="false">
      <c r="A117" s="6" t="n">
        <f aca="false">IF(AND(Ziele!$B$18="Plan bereit",43&lt;=Ziele!$B$5),43,"")</f>
        <v>43</v>
      </c>
      <c r="B117" s="7" t="n">
        <f aca="false">IF(AND(Ziele!$B$18="Plan bereit",43&lt;=Ziele!$B$5),ROUND(B116+E49,2),"")</f>
        <v>10000</v>
      </c>
      <c r="C117" s="7" t="n">
        <f aca="false">IF(AND(Ziele!$B$18="Plan bereit",43&lt;=Ziele!$B$5),ROUND(C116+F49,2),"")</f>
        <v>30150</v>
      </c>
      <c r="D117" s="7" t="n">
        <f aca="false">IF(AND(Ziele!$B$18="Plan bereit",43&lt;=Ziele!$B$5),ROUND(D116+G49,2),"")</f>
        <v>0</v>
      </c>
      <c r="E117" s="7" t="n">
        <f aca="false">IF(AND(Ziele!$B$18="Plan bereit",43&lt;=Ziele!$B$5),ROUND(E116+H49,2),"")</f>
        <v>0</v>
      </c>
      <c r="F117" s="7" t="n">
        <f aca="false">IF(AND(Ziele!$B$18="Plan bereit",43&lt;=Ziele!$B$5),ROUND(F116+I49,2),"")</f>
        <v>0</v>
      </c>
      <c r="G117" s="7" t="n">
        <f aca="false">IF(AND(Ziele!$B$18="Plan bereit",43&lt;=Ziele!$B$5),ROUND(G116+J49,2),"")</f>
        <v>0</v>
      </c>
      <c r="H117" s="7" t="n">
        <f aca="false">IF(AND(Ziele!$B$18="Plan bereit",43&lt;=Ziele!$B$5),ROUND(SUM(B117:G117),2),"")</f>
        <v>40150</v>
      </c>
      <c r="I117" s="6" t="n">
        <f aca="false">IF(AND(AND(Ziele!$B$18="Plan bereit",43&lt;=Ziele!$B$5),Ziele!C10&gt;0,B117&gt;=Ziele!C10),43,"")</f>
        <v>43</v>
      </c>
      <c r="J117" s="6" t="str">
        <f aca="false">IF(AND(AND(Ziele!$B$18="Plan bereit",43&lt;=Ziele!$B$5),Ziele!C11&gt;0,C117&gt;=Ziele!C11),43,"")</f>
        <v/>
      </c>
      <c r="K117" s="6" t="str">
        <f aca="false">IF(AND(AND(Ziele!$B$18="Plan bereit",43&lt;=Ziele!$B$5),Ziele!C12&gt;0,D117&gt;=Ziele!C12),43,"")</f>
        <v/>
      </c>
      <c r="L117" s="6" t="str">
        <f aca="false">IF(AND(AND(Ziele!$B$18="Plan bereit",43&lt;=Ziele!$B$5),Ziele!C13&gt;0,E117&gt;=Ziele!C13),43,"")</f>
        <v/>
      </c>
      <c r="M117" s="6" t="str">
        <f aca="false">IF(AND(AND(Ziele!$B$18="Plan bereit",43&lt;=Ziele!$B$5),Ziele!C14&gt;0,F117&gt;=Ziele!C14),43,"")</f>
        <v/>
      </c>
      <c r="N117" s="6" t="str">
        <f aca="false">IF(AND(AND(Ziele!$B$18="Plan bereit",43&lt;=Ziele!$B$5),Ziele!C15&gt;0,G117&gt;=Ziele!C15),43,"")</f>
        <v/>
      </c>
    </row>
    <row r="118" customFormat="false" ht="22.5" hidden="false" customHeight="true" outlineLevel="0" collapsed="false">
      <c r="A118" s="6" t="n">
        <f aca="false">IF(AND(Ziele!$B$18="Plan bereit",44&lt;=Ziele!$B$5),44,"")</f>
        <v>44</v>
      </c>
      <c r="B118" s="7" t="n">
        <f aca="false">IF(AND(Ziele!$B$18="Plan bereit",44&lt;=Ziele!$B$5),ROUND(B117+E50,2),"")</f>
        <v>10000</v>
      </c>
      <c r="C118" s="7" t="n">
        <f aca="false">IF(AND(Ziele!$B$18="Plan bereit",44&lt;=Ziele!$B$5),ROUND(C117+F50,2),"")</f>
        <v>30500</v>
      </c>
      <c r="D118" s="7" t="n">
        <f aca="false">IF(AND(Ziele!$B$18="Plan bereit",44&lt;=Ziele!$B$5),ROUND(D117+G50,2),"")</f>
        <v>0</v>
      </c>
      <c r="E118" s="7" t="n">
        <f aca="false">IF(AND(Ziele!$B$18="Plan bereit",44&lt;=Ziele!$B$5),ROUND(E117+H50,2),"")</f>
        <v>0</v>
      </c>
      <c r="F118" s="7" t="n">
        <f aca="false">IF(AND(Ziele!$B$18="Plan bereit",44&lt;=Ziele!$B$5),ROUND(F117+I50,2),"")</f>
        <v>0</v>
      </c>
      <c r="G118" s="7" t="n">
        <f aca="false">IF(AND(Ziele!$B$18="Plan bereit",44&lt;=Ziele!$B$5),ROUND(G117+J50,2),"")</f>
        <v>0</v>
      </c>
      <c r="H118" s="7" t="n">
        <f aca="false">IF(AND(Ziele!$B$18="Plan bereit",44&lt;=Ziele!$B$5),ROUND(SUM(B118:G118),2),"")</f>
        <v>40500</v>
      </c>
      <c r="I118" s="6" t="n">
        <f aca="false">IF(AND(AND(Ziele!$B$18="Plan bereit",44&lt;=Ziele!$B$5),Ziele!C10&gt;0,B118&gt;=Ziele!C10),44,"")</f>
        <v>44</v>
      </c>
      <c r="J118" s="6" t="str">
        <f aca="false">IF(AND(AND(Ziele!$B$18="Plan bereit",44&lt;=Ziele!$B$5),Ziele!C11&gt;0,C118&gt;=Ziele!C11),44,"")</f>
        <v/>
      </c>
      <c r="K118" s="6" t="str">
        <f aca="false">IF(AND(AND(Ziele!$B$18="Plan bereit",44&lt;=Ziele!$B$5),Ziele!C12&gt;0,D118&gt;=Ziele!C12),44,"")</f>
        <v/>
      </c>
      <c r="L118" s="6" t="str">
        <f aca="false">IF(AND(AND(Ziele!$B$18="Plan bereit",44&lt;=Ziele!$B$5),Ziele!C13&gt;0,E118&gt;=Ziele!C13),44,"")</f>
        <v/>
      </c>
      <c r="M118" s="6" t="str">
        <f aca="false">IF(AND(AND(Ziele!$B$18="Plan bereit",44&lt;=Ziele!$B$5),Ziele!C14&gt;0,F118&gt;=Ziele!C14),44,"")</f>
        <v/>
      </c>
      <c r="N118" s="6" t="str">
        <f aca="false">IF(AND(AND(Ziele!$B$18="Plan bereit",44&lt;=Ziele!$B$5),Ziele!C15&gt;0,G118&gt;=Ziele!C15),44,"")</f>
        <v/>
      </c>
    </row>
    <row r="119" customFormat="false" ht="22.5" hidden="false" customHeight="true" outlineLevel="0" collapsed="false">
      <c r="A119" s="6" t="n">
        <f aca="false">IF(AND(Ziele!$B$18="Plan bereit",45&lt;=Ziele!$B$5),45,"")</f>
        <v>45</v>
      </c>
      <c r="B119" s="7" t="n">
        <f aca="false">IF(AND(Ziele!$B$18="Plan bereit",45&lt;=Ziele!$B$5),ROUND(B118+E51,2),"")</f>
        <v>10000</v>
      </c>
      <c r="C119" s="7" t="n">
        <f aca="false">IF(AND(Ziele!$B$18="Plan bereit",45&lt;=Ziele!$B$5),ROUND(C118+F51,2),"")</f>
        <v>30850</v>
      </c>
      <c r="D119" s="7" t="n">
        <f aca="false">IF(AND(Ziele!$B$18="Plan bereit",45&lt;=Ziele!$B$5),ROUND(D118+G51,2),"")</f>
        <v>0</v>
      </c>
      <c r="E119" s="7" t="n">
        <f aca="false">IF(AND(Ziele!$B$18="Plan bereit",45&lt;=Ziele!$B$5),ROUND(E118+H51,2),"")</f>
        <v>0</v>
      </c>
      <c r="F119" s="7" t="n">
        <f aca="false">IF(AND(Ziele!$B$18="Plan bereit",45&lt;=Ziele!$B$5),ROUND(F118+I51,2),"")</f>
        <v>0</v>
      </c>
      <c r="G119" s="7" t="n">
        <f aca="false">IF(AND(Ziele!$B$18="Plan bereit",45&lt;=Ziele!$B$5),ROUND(G118+J51,2),"")</f>
        <v>0</v>
      </c>
      <c r="H119" s="7" t="n">
        <f aca="false">IF(AND(Ziele!$B$18="Plan bereit",45&lt;=Ziele!$B$5),ROUND(SUM(B119:G119),2),"")</f>
        <v>40850</v>
      </c>
      <c r="I119" s="6" t="n">
        <f aca="false">IF(AND(AND(Ziele!$B$18="Plan bereit",45&lt;=Ziele!$B$5),Ziele!C10&gt;0,B119&gt;=Ziele!C10),45,"")</f>
        <v>45</v>
      </c>
      <c r="J119" s="6" t="str">
        <f aca="false">IF(AND(AND(Ziele!$B$18="Plan bereit",45&lt;=Ziele!$B$5),Ziele!C11&gt;0,C119&gt;=Ziele!C11),45,"")</f>
        <v/>
      </c>
      <c r="K119" s="6" t="str">
        <f aca="false">IF(AND(AND(Ziele!$B$18="Plan bereit",45&lt;=Ziele!$B$5),Ziele!C12&gt;0,D119&gt;=Ziele!C12),45,"")</f>
        <v/>
      </c>
      <c r="L119" s="6" t="str">
        <f aca="false">IF(AND(AND(Ziele!$B$18="Plan bereit",45&lt;=Ziele!$B$5),Ziele!C13&gt;0,E119&gt;=Ziele!C13),45,"")</f>
        <v/>
      </c>
      <c r="M119" s="6" t="str">
        <f aca="false">IF(AND(AND(Ziele!$B$18="Plan bereit",45&lt;=Ziele!$B$5),Ziele!C14&gt;0,F119&gt;=Ziele!C14),45,"")</f>
        <v/>
      </c>
      <c r="N119" s="6" t="str">
        <f aca="false">IF(AND(AND(Ziele!$B$18="Plan bereit",45&lt;=Ziele!$B$5),Ziele!C15&gt;0,G119&gt;=Ziele!C15),45,"")</f>
        <v/>
      </c>
    </row>
    <row r="120" customFormat="false" ht="22.5" hidden="false" customHeight="true" outlineLevel="0" collapsed="false">
      <c r="A120" s="6" t="n">
        <f aca="false">IF(AND(Ziele!$B$18="Plan bereit",46&lt;=Ziele!$B$5),46,"")</f>
        <v>46</v>
      </c>
      <c r="B120" s="7" t="n">
        <f aca="false">IF(AND(Ziele!$B$18="Plan bereit",46&lt;=Ziele!$B$5),ROUND(B119+E52,2),"")</f>
        <v>10000</v>
      </c>
      <c r="C120" s="7" t="n">
        <f aca="false">IF(AND(Ziele!$B$18="Plan bereit",46&lt;=Ziele!$B$5),ROUND(C119+F52,2),"")</f>
        <v>31200</v>
      </c>
      <c r="D120" s="7" t="n">
        <f aca="false">IF(AND(Ziele!$B$18="Plan bereit",46&lt;=Ziele!$B$5),ROUND(D119+G52,2),"")</f>
        <v>0</v>
      </c>
      <c r="E120" s="7" t="n">
        <f aca="false">IF(AND(Ziele!$B$18="Plan bereit",46&lt;=Ziele!$B$5),ROUND(E119+H52,2),"")</f>
        <v>0</v>
      </c>
      <c r="F120" s="7" t="n">
        <f aca="false">IF(AND(Ziele!$B$18="Plan bereit",46&lt;=Ziele!$B$5),ROUND(F119+I52,2),"")</f>
        <v>0</v>
      </c>
      <c r="G120" s="7" t="n">
        <f aca="false">IF(AND(Ziele!$B$18="Plan bereit",46&lt;=Ziele!$B$5),ROUND(G119+J52,2),"")</f>
        <v>0</v>
      </c>
      <c r="H120" s="7" t="n">
        <f aca="false">IF(AND(Ziele!$B$18="Plan bereit",46&lt;=Ziele!$B$5),ROUND(SUM(B120:G120),2),"")</f>
        <v>41200</v>
      </c>
      <c r="I120" s="6" t="n">
        <f aca="false">IF(AND(AND(Ziele!$B$18="Plan bereit",46&lt;=Ziele!$B$5),Ziele!C10&gt;0,B120&gt;=Ziele!C10),46,"")</f>
        <v>46</v>
      </c>
      <c r="J120" s="6" t="str">
        <f aca="false">IF(AND(AND(Ziele!$B$18="Plan bereit",46&lt;=Ziele!$B$5),Ziele!C11&gt;0,C120&gt;=Ziele!C11),46,"")</f>
        <v/>
      </c>
      <c r="K120" s="6" t="str">
        <f aca="false">IF(AND(AND(Ziele!$B$18="Plan bereit",46&lt;=Ziele!$B$5),Ziele!C12&gt;0,D120&gt;=Ziele!C12),46,"")</f>
        <v/>
      </c>
      <c r="L120" s="6" t="str">
        <f aca="false">IF(AND(AND(Ziele!$B$18="Plan bereit",46&lt;=Ziele!$B$5),Ziele!C13&gt;0,E120&gt;=Ziele!C13),46,"")</f>
        <v/>
      </c>
      <c r="M120" s="6" t="str">
        <f aca="false">IF(AND(AND(Ziele!$B$18="Plan bereit",46&lt;=Ziele!$B$5),Ziele!C14&gt;0,F120&gt;=Ziele!C14),46,"")</f>
        <v/>
      </c>
      <c r="N120" s="6" t="str">
        <f aca="false">IF(AND(AND(Ziele!$B$18="Plan bereit",46&lt;=Ziele!$B$5),Ziele!C15&gt;0,G120&gt;=Ziele!C15),46,"")</f>
        <v/>
      </c>
    </row>
    <row r="121" customFormat="false" ht="22.5" hidden="false" customHeight="true" outlineLevel="0" collapsed="false">
      <c r="A121" s="6" t="n">
        <f aca="false">IF(AND(Ziele!$B$18="Plan bereit",47&lt;=Ziele!$B$5),47,"")</f>
        <v>47</v>
      </c>
      <c r="B121" s="7" t="n">
        <f aca="false">IF(AND(Ziele!$B$18="Plan bereit",47&lt;=Ziele!$B$5),ROUND(B120+E53,2),"")</f>
        <v>10000</v>
      </c>
      <c r="C121" s="7" t="n">
        <f aca="false">IF(AND(Ziele!$B$18="Plan bereit",47&lt;=Ziele!$B$5),ROUND(C120+F53,2),"")</f>
        <v>31550</v>
      </c>
      <c r="D121" s="7" t="n">
        <f aca="false">IF(AND(Ziele!$B$18="Plan bereit",47&lt;=Ziele!$B$5),ROUND(D120+G53,2),"")</f>
        <v>0</v>
      </c>
      <c r="E121" s="7" t="n">
        <f aca="false">IF(AND(Ziele!$B$18="Plan bereit",47&lt;=Ziele!$B$5),ROUND(E120+H53,2),"")</f>
        <v>0</v>
      </c>
      <c r="F121" s="7" t="n">
        <f aca="false">IF(AND(Ziele!$B$18="Plan bereit",47&lt;=Ziele!$B$5),ROUND(F120+I53,2),"")</f>
        <v>0</v>
      </c>
      <c r="G121" s="7" t="n">
        <f aca="false">IF(AND(Ziele!$B$18="Plan bereit",47&lt;=Ziele!$B$5),ROUND(G120+J53,2),"")</f>
        <v>0</v>
      </c>
      <c r="H121" s="7" t="n">
        <f aca="false">IF(AND(Ziele!$B$18="Plan bereit",47&lt;=Ziele!$B$5),ROUND(SUM(B121:G121),2),"")</f>
        <v>41550</v>
      </c>
      <c r="I121" s="6" t="n">
        <f aca="false">IF(AND(AND(Ziele!$B$18="Plan bereit",47&lt;=Ziele!$B$5),Ziele!C10&gt;0,B121&gt;=Ziele!C10),47,"")</f>
        <v>47</v>
      </c>
      <c r="J121" s="6" t="str">
        <f aca="false">IF(AND(AND(Ziele!$B$18="Plan bereit",47&lt;=Ziele!$B$5),Ziele!C11&gt;0,C121&gt;=Ziele!C11),47,"")</f>
        <v/>
      </c>
      <c r="K121" s="6" t="str">
        <f aca="false">IF(AND(AND(Ziele!$B$18="Plan bereit",47&lt;=Ziele!$B$5),Ziele!C12&gt;0,D121&gt;=Ziele!C12),47,"")</f>
        <v/>
      </c>
      <c r="L121" s="6" t="str">
        <f aca="false">IF(AND(AND(Ziele!$B$18="Plan bereit",47&lt;=Ziele!$B$5),Ziele!C13&gt;0,E121&gt;=Ziele!C13),47,"")</f>
        <v/>
      </c>
      <c r="M121" s="6" t="str">
        <f aca="false">IF(AND(AND(Ziele!$B$18="Plan bereit",47&lt;=Ziele!$B$5),Ziele!C14&gt;0,F121&gt;=Ziele!C14),47,"")</f>
        <v/>
      </c>
      <c r="N121" s="6" t="str">
        <f aca="false">IF(AND(AND(Ziele!$B$18="Plan bereit",47&lt;=Ziele!$B$5),Ziele!C15&gt;0,G121&gt;=Ziele!C15),47,"")</f>
        <v/>
      </c>
    </row>
    <row r="122" customFormat="false" ht="22.5" hidden="false" customHeight="true" outlineLevel="0" collapsed="false">
      <c r="A122" s="6" t="n">
        <f aca="false">IF(AND(Ziele!$B$18="Plan bereit",48&lt;=Ziele!$B$5),48,"")</f>
        <v>48</v>
      </c>
      <c r="B122" s="7" t="n">
        <f aca="false">IF(AND(Ziele!$B$18="Plan bereit",48&lt;=Ziele!$B$5),ROUND(B121+E54,2),"")</f>
        <v>10000</v>
      </c>
      <c r="C122" s="7" t="n">
        <f aca="false">IF(AND(Ziele!$B$18="Plan bereit",48&lt;=Ziele!$B$5),ROUND(C121+F54,2),"")</f>
        <v>31900</v>
      </c>
      <c r="D122" s="7" t="n">
        <f aca="false">IF(AND(Ziele!$B$18="Plan bereit",48&lt;=Ziele!$B$5),ROUND(D121+G54,2),"")</f>
        <v>0</v>
      </c>
      <c r="E122" s="7" t="n">
        <f aca="false">IF(AND(Ziele!$B$18="Plan bereit",48&lt;=Ziele!$B$5),ROUND(E121+H54,2),"")</f>
        <v>0</v>
      </c>
      <c r="F122" s="7" t="n">
        <f aca="false">IF(AND(Ziele!$B$18="Plan bereit",48&lt;=Ziele!$B$5),ROUND(F121+I54,2),"")</f>
        <v>0</v>
      </c>
      <c r="G122" s="7" t="n">
        <f aca="false">IF(AND(Ziele!$B$18="Plan bereit",48&lt;=Ziele!$B$5),ROUND(G121+J54,2),"")</f>
        <v>0</v>
      </c>
      <c r="H122" s="7" t="n">
        <f aca="false">IF(AND(Ziele!$B$18="Plan bereit",48&lt;=Ziele!$B$5),ROUND(SUM(B122:G122),2),"")</f>
        <v>41900</v>
      </c>
      <c r="I122" s="6" t="n">
        <f aca="false">IF(AND(AND(Ziele!$B$18="Plan bereit",48&lt;=Ziele!$B$5),Ziele!C10&gt;0,B122&gt;=Ziele!C10),48,"")</f>
        <v>48</v>
      </c>
      <c r="J122" s="6" t="str">
        <f aca="false">IF(AND(AND(Ziele!$B$18="Plan bereit",48&lt;=Ziele!$B$5),Ziele!C11&gt;0,C122&gt;=Ziele!C11),48,"")</f>
        <v/>
      </c>
      <c r="K122" s="6" t="str">
        <f aca="false">IF(AND(AND(Ziele!$B$18="Plan bereit",48&lt;=Ziele!$B$5),Ziele!C12&gt;0,D122&gt;=Ziele!C12),48,"")</f>
        <v/>
      </c>
      <c r="L122" s="6" t="str">
        <f aca="false">IF(AND(AND(Ziele!$B$18="Plan bereit",48&lt;=Ziele!$B$5),Ziele!C13&gt;0,E122&gt;=Ziele!C13),48,"")</f>
        <v/>
      </c>
      <c r="M122" s="6" t="str">
        <f aca="false">IF(AND(AND(Ziele!$B$18="Plan bereit",48&lt;=Ziele!$B$5),Ziele!C14&gt;0,F122&gt;=Ziele!C14),48,"")</f>
        <v/>
      </c>
      <c r="N122" s="6" t="str">
        <f aca="false">IF(AND(AND(Ziele!$B$18="Plan bereit",48&lt;=Ziele!$B$5),Ziele!C15&gt;0,G122&gt;=Ziele!C15),48,"")</f>
        <v/>
      </c>
    </row>
    <row r="123" customFormat="false" ht="22.5" hidden="false" customHeight="true" outlineLevel="0" collapsed="false">
      <c r="A123" s="6" t="str">
        <f aca="false">IF(AND(Ziele!$B$18="Plan bereit",49&lt;=Ziele!$B$5),49,"")</f>
        <v/>
      </c>
      <c r="B123" s="7" t="str">
        <f aca="false">IF(AND(Ziele!$B$18="Plan bereit",49&lt;=Ziele!$B$5),ROUND(B122+E55,2),"")</f>
        <v/>
      </c>
      <c r="C123" s="7" t="str">
        <f aca="false">IF(AND(Ziele!$B$18="Plan bereit",49&lt;=Ziele!$B$5),ROUND(C122+F55,2),"")</f>
        <v/>
      </c>
      <c r="D123" s="7" t="str">
        <f aca="false">IF(AND(Ziele!$B$18="Plan bereit",49&lt;=Ziele!$B$5),ROUND(D122+G55,2),"")</f>
        <v/>
      </c>
      <c r="E123" s="7" t="str">
        <f aca="false">IF(AND(Ziele!$B$18="Plan bereit",49&lt;=Ziele!$B$5),ROUND(E122+H55,2),"")</f>
        <v/>
      </c>
      <c r="F123" s="7" t="str">
        <f aca="false">IF(AND(Ziele!$B$18="Plan bereit",49&lt;=Ziele!$B$5),ROUND(F122+I55,2),"")</f>
        <v/>
      </c>
      <c r="G123" s="7" t="str">
        <f aca="false">IF(AND(Ziele!$B$18="Plan bereit",49&lt;=Ziele!$B$5),ROUND(G122+J55,2),"")</f>
        <v/>
      </c>
      <c r="H123" s="7" t="str">
        <f aca="false">IF(AND(Ziele!$B$18="Plan bereit",49&lt;=Ziele!$B$5),ROUND(SUM(B123:G123),2),"")</f>
        <v/>
      </c>
      <c r="I123" s="6" t="str">
        <f aca="false">IF(AND(AND(Ziele!$B$18="Plan bereit",49&lt;=Ziele!$B$5),Ziele!C10&gt;0,B123&gt;=Ziele!C10),49,"")</f>
        <v/>
      </c>
      <c r="J123" s="6" t="str">
        <f aca="false">IF(AND(AND(Ziele!$B$18="Plan bereit",49&lt;=Ziele!$B$5),Ziele!C11&gt;0,C123&gt;=Ziele!C11),49,"")</f>
        <v/>
      </c>
      <c r="K123" s="6" t="str">
        <f aca="false">IF(AND(AND(Ziele!$B$18="Plan bereit",49&lt;=Ziele!$B$5),Ziele!C12&gt;0,D123&gt;=Ziele!C12),49,"")</f>
        <v/>
      </c>
      <c r="L123" s="6" t="str">
        <f aca="false">IF(AND(AND(Ziele!$B$18="Plan bereit",49&lt;=Ziele!$B$5),Ziele!C13&gt;0,E123&gt;=Ziele!C13),49,"")</f>
        <v/>
      </c>
      <c r="M123" s="6" t="str">
        <f aca="false">IF(AND(AND(Ziele!$B$18="Plan bereit",49&lt;=Ziele!$B$5),Ziele!C14&gt;0,F123&gt;=Ziele!C14),49,"")</f>
        <v/>
      </c>
      <c r="N123" s="6" t="str">
        <f aca="false">IF(AND(AND(Ziele!$B$18="Plan bereit",49&lt;=Ziele!$B$5),Ziele!C15&gt;0,G123&gt;=Ziele!C15),49,"")</f>
        <v/>
      </c>
    </row>
    <row r="124" customFormat="false" ht="22.5" hidden="false" customHeight="true" outlineLevel="0" collapsed="false">
      <c r="A124" s="6" t="str">
        <f aca="false">IF(AND(Ziele!$B$18="Plan bereit",50&lt;=Ziele!$B$5),50,"")</f>
        <v/>
      </c>
      <c r="B124" s="7" t="str">
        <f aca="false">IF(AND(Ziele!$B$18="Plan bereit",50&lt;=Ziele!$B$5),ROUND(B123+E56,2),"")</f>
        <v/>
      </c>
      <c r="C124" s="7" t="str">
        <f aca="false">IF(AND(Ziele!$B$18="Plan bereit",50&lt;=Ziele!$B$5),ROUND(C123+F56,2),"")</f>
        <v/>
      </c>
      <c r="D124" s="7" t="str">
        <f aca="false">IF(AND(Ziele!$B$18="Plan bereit",50&lt;=Ziele!$B$5),ROUND(D123+G56,2),"")</f>
        <v/>
      </c>
      <c r="E124" s="7" t="str">
        <f aca="false">IF(AND(Ziele!$B$18="Plan bereit",50&lt;=Ziele!$B$5),ROUND(E123+H56,2),"")</f>
        <v/>
      </c>
      <c r="F124" s="7" t="str">
        <f aca="false">IF(AND(Ziele!$B$18="Plan bereit",50&lt;=Ziele!$B$5),ROUND(F123+I56,2),"")</f>
        <v/>
      </c>
      <c r="G124" s="7" t="str">
        <f aca="false">IF(AND(Ziele!$B$18="Plan bereit",50&lt;=Ziele!$B$5),ROUND(G123+J56,2),"")</f>
        <v/>
      </c>
      <c r="H124" s="7" t="str">
        <f aca="false">IF(AND(Ziele!$B$18="Plan bereit",50&lt;=Ziele!$B$5),ROUND(SUM(B124:G124),2),"")</f>
        <v/>
      </c>
      <c r="I124" s="6" t="str">
        <f aca="false">IF(AND(AND(Ziele!$B$18="Plan bereit",50&lt;=Ziele!$B$5),Ziele!C10&gt;0,B124&gt;=Ziele!C10),50,"")</f>
        <v/>
      </c>
      <c r="J124" s="6" t="str">
        <f aca="false">IF(AND(AND(Ziele!$B$18="Plan bereit",50&lt;=Ziele!$B$5),Ziele!C11&gt;0,C124&gt;=Ziele!C11),50,"")</f>
        <v/>
      </c>
      <c r="K124" s="6" t="str">
        <f aca="false">IF(AND(AND(Ziele!$B$18="Plan bereit",50&lt;=Ziele!$B$5),Ziele!C12&gt;0,D124&gt;=Ziele!C12),50,"")</f>
        <v/>
      </c>
      <c r="L124" s="6" t="str">
        <f aca="false">IF(AND(AND(Ziele!$B$18="Plan bereit",50&lt;=Ziele!$B$5),Ziele!C13&gt;0,E124&gt;=Ziele!C13),50,"")</f>
        <v/>
      </c>
      <c r="M124" s="6" t="str">
        <f aca="false">IF(AND(AND(Ziele!$B$18="Plan bereit",50&lt;=Ziele!$B$5),Ziele!C14&gt;0,F124&gt;=Ziele!C14),50,"")</f>
        <v/>
      </c>
      <c r="N124" s="6" t="str">
        <f aca="false">IF(AND(AND(Ziele!$B$18="Plan bereit",50&lt;=Ziele!$B$5),Ziele!C15&gt;0,G124&gt;=Ziele!C15),50,"")</f>
        <v/>
      </c>
    </row>
    <row r="125" customFormat="false" ht="22.5" hidden="false" customHeight="true" outlineLevel="0" collapsed="false">
      <c r="A125" s="6" t="str">
        <f aca="false">IF(AND(Ziele!$B$18="Plan bereit",51&lt;=Ziele!$B$5),51,"")</f>
        <v/>
      </c>
      <c r="B125" s="7" t="str">
        <f aca="false">IF(AND(Ziele!$B$18="Plan bereit",51&lt;=Ziele!$B$5),ROUND(B124+E57,2),"")</f>
        <v/>
      </c>
      <c r="C125" s="7" t="str">
        <f aca="false">IF(AND(Ziele!$B$18="Plan bereit",51&lt;=Ziele!$B$5),ROUND(C124+F57,2),"")</f>
        <v/>
      </c>
      <c r="D125" s="7" t="str">
        <f aca="false">IF(AND(Ziele!$B$18="Plan bereit",51&lt;=Ziele!$B$5),ROUND(D124+G57,2),"")</f>
        <v/>
      </c>
      <c r="E125" s="7" t="str">
        <f aca="false">IF(AND(Ziele!$B$18="Plan bereit",51&lt;=Ziele!$B$5),ROUND(E124+H57,2),"")</f>
        <v/>
      </c>
      <c r="F125" s="7" t="str">
        <f aca="false">IF(AND(Ziele!$B$18="Plan bereit",51&lt;=Ziele!$B$5),ROUND(F124+I57,2),"")</f>
        <v/>
      </c>
      <c r="G125" s="7" t="str">
        <f aca="false">IF(AND(Ziele!$B$18="Plan bereit",51&lt;=Ziele!$B$5),ROUND(G124+J57,2),"")</f>
        <v/>
      </c>
      <c r="H125" s="7" t="str">
        <f aca="false">IF(AND(Ziele!$B$18="Plan bereit",51&lt;=Ziele!$B$5),ROUND(SUM(B125:G125),2),"")</f>
        <v/>
      </c>
      <c r="I125" s="6" t="str">
        <f aca="false">IF(AND(AND(Ziele!$B$18="Plan bereit",51&lt;=Ziele!$B$5),Ziele!C10&gt;0,B125&gt;=Ziele!C10),51,"")</f>
        <v/>
      </c>
      <c r="J125" s="6" t="str">
        <f aca="false">IF(AND(AND(Ziele!$B$18="Plan bereit",51&lt;=Ziele!$B$5),Ziele!C11&gt;0,C125&gt;=Ziele!C11),51,"")</f>
        <v/>
      </c>
      <c r="K125" s="6" t="str">
        <f aca="false">IF(AND(AND(Ziele!$B$18="Plan bereit",51&lt;=Ziele!$B$5),Ziele!C12&gt;0,D125&gt;=Ziele!C12),51,"")</f>
        <v/>
      </c>
      <c r="L125" s="6" t="str">
        <f aca="false">IF(AND(AND(Ziele!$B$18="Plan bereit",51&lt;=Ziele!$B$5),Ziele!C13&gt;0,E125&gt;=Ziele!C13),51,"")</f>
        <v/>
      </c>
      <c r="M125" s="6" t="str">
        <f aca="false">IF(AND(AND(Ziele!$B$18="Plan bereit",51&lt;=Ziele!$B$5),Ziele!C14&gt;0,F125&gt;=Ziele!C14),51,"")</f>
        <v/>
      </c>
      <c r="N125" s="6" t="str">
        <f aca="false">IF(AND(AND(Ziele!$B$18="Plan bereit",51&lt;=Ziele!$B$5),Ziele!C15&gt;0,G125&gt;=Ziele!C15),51,"")</f>
        <v/>
      </c>
    </row>
    <row r="126" customFormat="false" ht="22.5" hidden="false" customHeight="true" outlineLevel="0" collapsed="false">
      <c r="A126" s="6" t="str">
        <f aca="false">IF(AND(Ziele!$B$18="Plan bereit",52&lt;=Ziele!$B$5),52,"")</f>
        <v/>
      </c>
      <c r="B126" s="7" t="str">
        <f aca="false">IF(AND(Ziele!$B$18="Plan bereit",52&lt;=Ziele!$B$5),ROUND(B125+E58,2),"")</f>
        <v/>
      </c>
      <c r="C126" s="7" t="str">
        <f aca="false">IF(AND(Ziele!$B$18="Plan bereit",52&lt;=Ziele!$B$5),ROUND(C125+F58,2),"")</f>
        <v/>
      </c>
      <c r="D126" s="7" t="str">
        <f aca="false">IF(AND(Ziele!$B$18="Plan bereit",52&lt;=Ziele!$B$5),ROUND(D125+G58,2),"")</f>
        <v/>
      </c>
      <c r="E126" s="7" t="str">
        <f aca="false">IF(AND(Ziele!$B$18="Plan bereit",52&lt;=Ziele!$B$5),ROUND(E125+H58,2),"")</f>
        <v/>
      </c>
      <c r="F126" s="7" t="str">
        <f aca="false">IF(AND(Ziele!$B$18="Plan bereit",52&lt;=Ziele!$B$5),ROUND(F125+I58,2),"")</f>
        <v/>
      </c>
      <c r="G126" s="7" t="str">
        <f aca="false">IF(AND(Ziele!$B$18="Plan bereit",52&lt;=Ziele!$B$5),ROUND(G125+J58,2),"")</f>
        <v/>
      </c>
      <c r="H126" s="7" t="str">
        <f aca="false">IF(AND(Ziele!$B$18="Plan bereit",52&lt;=Ziele!$B$5),ROUND(SUM(B126:G126),2),"")</f>
        <v/>
      </c>
      <c r="I126" s="6" t="str">
        <f aca="false">IF(AND(AND(Ziele!$B$18="Plan bereit",52&lt;=Ziele!$B$5),Ziele!C10&gt;0,B126&gt;=Ziele!C10),52,"")</f>
        <v/>
      </c>
      <c r="J126" s="6" t="str">
        <f aca="false">IF(AND(AND(Ziele!$B$18="Plan bereit",52&lt;=Ziele!$B$5),Ziele!C11&gt;0,C126&gt;=Ziele!C11),52,"")</f>
        <v/>
      </c>
      <c r="K126" s="6" t="str">
        <f aca="false">IF(AND(AND(Ziele!$B$18="Plan bereit",52&lt;=Ziele!$B$5),Ziele!C12&gt;0,D126&gt;=Ziele!C12),52,"")</f>
        <v/>
      </c>
      <c r="L126" s="6" t="str">
        <f aca="false">IF(AND(AND(Ziele!$B$18="Plan bereit",52&lt;=Ziele!$B$5),Ziele!C13&gt;0,E126&gt;=Ziele!C13),52,"")</f>
        <v/>
      </c>
      <c r="M126" s="6" t="str">
        <f aca="false">IF(AND(AND(Ziele!$B$18="Plan bereit",52&lt;=Ziele!$B$5),Ziele!C14&gt;0,F126&gt;=Ziele!C14),52,"")</f>
        <v/>
      </c>
      <c r="N126" s="6" t="str">
        <f aca="false">IF(AND(AND(Ziele!$B$18="Plan bereit",52&lt;=Ziele!$B$5),Ziele!C15&gt;0,G126&gt;=Ziele!C15),52,"")</f>
        <v/>
      </c>
    </row>
    <row r="127" customFormat="false" ht="22.5" hidden="false" customHeight="true" outlineLevel="0" collapsed="false">
      <c r="A127" s="6" t="str">
        <f aca="false">IF(AND(Ziele!$B$18="Plan bereit",53&lt;=Ziele!$B$5),53,"")</f>
        <v/>
      </c>
      <c r="B127" s="7" t="str">
        <f aca="false">IF(AND(Ziele!$B$18="Plan bereit",53&lt;=Ziele!$B$5),ROUND(B126+E59,2),"")</f>
        <v/>
      </c>
      <c r="C127" s="7" t="str">
        <f aca="false">IF(AND(Ziele!$B$18="Plan bereit",53&lt;=Ziele!$B$5),ROUND(C126+F59,2),"")</f>
        <v/>
      </c>
      <c r="D127" s="7" t="str">
        <f aca="false">IF(AND(Ziele!$B$18="Plan bereit",53&lt;=Ziele!$B$5),ROUND(D126+G59,2),"")</f>
        <v/>
      </c>
      <c r="E127" s="7" t="str">
        <f aca="false">IF(AND(Ziele!$B$18="Plan bereit",53&lt;=Ziele!$B$5),ROUND(E126+H59,2),"")</f>
        <v/>
      </c>
      <c r="F127" s="7" t="str">
        <f aca="false">IF(AND(Ziele!$B$18="Plan bereit",53&lt;=Ziele!$B$5),ROUND(F126+I59,2),"")</f>
        <v/>
      </c>
      <c r="G127" s="7" t="str">
        <f aca="false">IF(AND(Ziele!$B$18="Plan bereit",53&lt;=Ziele!$B$5),ROUND(G126+J59,2),"")</f>
        <v/>
      </c>
      <c r="H127" s="7" t="str">
        <f aca="false">IF(AND(Ziele!$B$18="Plan bereit",53&lt;=Ziele!$B$5),ROUND(SUM(B127:G127),2),"")</f>
        <v/>
      </c>
      <c r="I127" s="6" t="str">
        <f aca="false">IF(AND(AND(Ziele!$B$18="Plan bereit",53&lt;=Ziele!$B$5),Ziele!C10&gt;0,B127&gt;=Ziele!C10),53,"")</f>
        <v/>
      </c>
      <c r="J127" s="6" t="str">
        <f aca="false">IF(AND(AND(Ziele!$B$18="Plan bereit",53&lt;=Ziele!$B$5),Ziele!C11&gt;0,C127&gt;=Ziele!C11),53,"")</f>
        <v/>
      </c>
      <c r="K127" s="6" t="str">
        <f aca="false">IF(AND(AND(Ziele!$B$18="Plan bereit",53&lt;=Ziele!$B$5),Ziele!C12&gt;0,D127&gt;=Ziele!C12),53,"")</f>
        <v/>
      </c>
      <c r="L127" s="6" t="str">
        <f aca="false">IF(AND(AND(Ziele!$B$18="Plan bereit",53&lt;=Ziele!$B$5),Ziele!C13&gt;0,E127&gt;=Ziele!C13),53,"")</f>
        <v/>
      </c>
      <c r="M127" s="6" t="str">
        <f aca="false">IF(AND(AND(Ziele!$B$18="Plan bereit",53&lt;=Ziele!$B$5),Ziele!C14&gt;0,F127&gt;=Ziele!C14),53,"")</f>
        <v/>
      </c>
      <c r="N127" s="6" t="str">
        <f aca="false">IF(AND(AND(Ziele!$B$18="Plan bereit",53&lt;=Ziele!$B$5),Ziele!C15&gt;0,G127&gt;=Ziele!C15),53,"")</f>
        <v/>
      </c>
    </row>
    <row r="128" customFormat="false" ht="22.5" hidden="false" customHeight="true" outlineLevel="0" collapsed="false">
      <c r="A128" s="6" t="str">
        <f aca="false">IF(AND(Ziele!$B$18="Plan bereit",54&lt;=Ziele!$B$5),54,"")</f>
        <v/>
      </c>
      <c r="B128" s="7" t="str">
        <f aca="false">IF(AND(Ziele!$B$18="Plan bereit",54&lt;=Ziele!$B$5),ROUND(B127+E60,2),"")</f>
        <v/>
      </c>
      <c r="C128" s="7" t="str">
        <f aca="false">IF(AND(Ziele!$B$18="Plan bereit",54&lt;=Ziele!$B$5),ROUND(C127+F60,2),"")</f>
        <v/>
      </c>
      <c r="D128" s="7" t="str">
        <f aca="false">IF(AND(Ziele!$B$18="Plan bereit",54&lt;=Ziele!$B$5),ROUND(D127+G60,2),"")</f>
        <v/>
      </c>
      <c r="E128" s="7" t="str">
        <f aca="false">IF(AND(Ziele!$B$18="Plan bereit",54&lt;=Ziele!$B$5),ROUND(E127+H60,2),"")</f>
        <v/>
      </c>
      <c r="F128" s="7" t="str">
        <f aca="false">IF(AND(Ziele!$B$18="Plan bereit",54&lt;=Ziele!$B$5),ROUND(F127+I60,2),"")</f>
        <v/>
      </c>
      <c r="G128" s="7" t="str">
        <f aca="false">IF(AND(Ziele!$B$18="Plan bereit",54&lt;=Ziele!$B$5),ROUND(G127+J60,2),"")</f>
        <v/>
      </c>
      <c r="H128" s="7" t="str">
        <f aca="false">IF(AND(Ziele!$B$18="Plan bereit",54&lt;=Ziele!$B$5),ROUND(SUM(B128:G128),2),"")</f>
        <v/>
      </c>
      <c r="I128" s="6" t="str">
        <f aca="false">IF(AND(AND(Ziele!$B$18="Plan bereit",54&lt;=Ziele!$B$5),Ziele!C10&gt;0,B128&gt;=Ziele!C10),54,"")</f>
        <v/>
      </c>
      <c r="J128" s="6" t="str">
        <f aca="false">IF(AND(AND(Ziele!$B$18="Plan bereit",54&lt;=Ziele!$B$5),Ziele!C11&gt;0,C128&gt;=Ziele!C11),54,"")</f>
        <v/>
      </c>
      <c r="K128" s="6" t="str">
        <f aca="false">IF(AND(AND(Ziele!$B$18="Plan bereit",54&lt;=Ziele!$B$5),Ziele!C12&gt;0,D128&gt;=Ziele!C12),54,"")</f>
        <v/>
      </c>
      <c r="L128" s="6" t="str">
        <f aca="false">IF(AND(AND(Ziele!$B$18="Plan bereit",54&lt;=Ziele!$B$5),Ziele!C13&gt;0,E128&gt;=Ziele!C13),54,"")</f>
        <v/>
      </c>
      <c r="M128" s="6" t="str">
        <f aca="false">IF(AND(AND(Ziele!$B$18="Plan bereit",54&lt;=Ziele!$B$5),Ziele!C14&gt;0,F128&gt;=Ziele!C14),54,"")</f>
        <v/>
      </c>
      <c r="N128" s="6" t="str">
        <f aca="false">IF(AND(AND(Ziele!$B$18="Plan bereit",54&lt;=Ziele!$B$5),Ziele!C15&gt;0,G128&gt;=Ziele!C15),54,"")</f>
        <v/>
      </c>
    </row>
    <row r="129" customFormat="false" ht="22.5" hidden="false" customHeight="true" outlineLevel="0" collapsed="false">
      <c r="A129" s="6" t="str">
        <f aca="false">IF(AND(Ziele!$B$18="Plan bereit",55&lt;=Ziele!$B$5),55,"")</f>
        <v/>
      </c>
      <c r="B129" s="7" t="str">
        <f aca="false">IF(AND(Ziele!$B$18="Plan bereit",55&lt;=Ziele!$B$5),ROUND(B128+E61,2),"")</f>
        <v/>
      </c>
      <c r="C129" s="7" t="str">
        <f aca="false">IF(AND(Ziele!$B$18="Plan bereit",55&lt;=Ziele!$B$5),ROUND(C128+F61,2),"")</f>
        <v/>
      </c>
      <c r="D129" s="7" t="str">
        <f aca="false">IF(AND(Ziele!$B$18="Plan bereit",55&lt;=Ziele!$B$5),ROUND(D128+G61,2),"")</f>
        <v/>
      </c>
      <c r="E129" s="7" t="str">
        <f aca="false">IF(AND(Ziele!$B$18="Plan bereit",55&lt;=Ziele!$B$5),ROUND(E128+H61,2),"")</f>
        <v/>
      </c>
      <c r="F129" s="7" t="str">
        <f aca="false">IF(AND(Ziele!$B$18="Plan bereit",55&lt;=Ziele!$B$5),ROUND(F128+I61,2),"")</f>
        <v/>
      </c>
      <c r="G129" s="7" t="str">
        <f aca="false">IF(AND(Ziele!$B$18="Plan bereit",55&lt;=Ziele!$B$5),ROUND(G128+J61,2),"")</f>
        <v/>
      </c>
      <c r="H129" s="7" t="str">
        <f aca="false">IF(AND(Ziele!$B$18="Plan bereit",55&lt;=Ziele!$B$5),ROUND(SUM(B129:G129),2),"")</f>
        <v/>
      </c>
      <c r="I129" s="6" t="str">
        <f aca="false">IF(AND(AND(Ziele!$B$18="Plan bereit",55&lt;=Ziele!$B$5),Ziele!C10&gt;0,B129&gt;=Ziele!C10),55,"")</f>
        <v/>
      </c>
      <c r="J129" s="6" t="str">
        <f aca="false">IF(AND(AND(Ziele!$B$18="Plan bereit",55&lt;=Ziele!$B$5),Ziele!C11&gt;0,C129&gt;=Ziele!C11),55,"")</f>
        <v/>
      </c>
      <c r="K129" s="6" t="str">
        <f aca="false">IF(AND(AND(Ziele!$B$18="Plan bereit",55&lt;=Ziele!$B$5),Ziele!C12&gt;0,D129&gt;=Ziele!C12),55,"")</f>
        <v/>
      </c>
      <c r="L129" s="6" t="str">
        <f aca="false">IF(AND(AND(Ziele!$B$18="Plan bereit",55&lt;=Ziele!$B$5),Ziele!C13&gt;0,E129&gt;=Ziele!C13),55,"")</f>
        <v/>
      </c>
      <c r="M129" s="6" t="str">
        <f aca="false">IF(AND(AND(Ziele!$B$18="Plan bereit",55&lt;=Ziele!$B$5),Ziele!C14&gt;0,F129&gt;=Ziele!C14),55,"")</f>
        <v/>
      </c>
      <c r="N129" s="6" t="str">
        <f aca="false">IF(AND(AND(Ziele!$B$18="Plan bereit",55&lt;=Ziele!$B$5),Ziele!C15&gt;0,G129&gt;=Ziele!C15),55,"")</f>
        <v/>
      </c>
    </row>
    <row r="130" customFormat="false" ht="22.5" hidden="false" customHeight="true" outlineLevel="0" collapsed="false">
      <c r="A130" s="6" t="str">
        <f aca="false">IF(AND(Ziele!$B$18="Plan bereit",56&lt;=Ziele!$B$5),56,"")</f>
        <v/>
      </c>
      <c r="B130" s="7" t="str">
        <f aca="false">IF(AND(Ziele!$B$18="Plan bereit",56&lt;=Ziele!$B$5),ROUND(B129+E62,2),"")</f>
        <v/>
      </c>
      <c r="C130" s="7" t="str">
        <f aca="false">IF(AND(Ziele!$B$18="Plan bereit",56&lt;=Ziele!$B$5),ROUND(C129+F62,2),"")</f>
        <v/>
      </c>
      <c r="D130" s="7" t="str">
        <f aca="false">IF(AND(Ziele!$B$18="Plan bereit",56&lt;=Ziele!$B$5),ROUND(D129+G62,2),"")</f>
        <v/>
      </c>
      <c r="E130" s="7" t="str">
        <f aca="false">IF(AND(Ziele!$B$18="Plan bereit",56&lt;=Ziele!$B$5),ROUND(E129+H62,2),"")</f>
        <v/>
      </c>
      <c r="F130" s="7" t="str">
        <f aca="false">IF(AND(Ziele!$B$18="Plan bereit",56&lt;=Ziele!$B$5),ROUND(F129+I62,2),"")</f>
        <v/>
      </c>
      <c r="G130" s="7" t="str">
        <f aca="false">IF(AND(Ziele!$B$18="Plan bereit",56&lt;=Ziele!$B$5),ROUND(G129+J62,2),"")</f>
        <v/>
      </c>
      <c r="H130" s="7" t="str">
        <f aca="false">IF(AND(Ziele!$B$18="Plan bereit",56&lt;=Ziele!$B$5),ROUND(SUM(B130:G130),2),"")</f>
        <v/>
      </c>
      <c r="I130" s="6" t="str">
        <f aca="false">IF(AND(AND(Ziele!$B$18="Plan bereit",56&lt;=Ziele!$B$5),Ziele!C10&gt;0,B130&gt;=Ziele!C10),56,"")</f>
        <v/>
      </c>
      <c r="J130" s="6" t="str">
        <f aca="false">IF(AND(AND(Ziele!$B$18="Plan bereit",56&lt;=Ziele!$B$5),Ziele!C11&gt;0,C130&gt;=Ziele!C11),56,"")</f>
        <v/>
      </c>
      <c r="K130" s="6" t="str">
        <f aca="false">IF(AND(AND(Ziele!$B$18="Plan bereit",56&lt;=Ziele!$B$5),Ziele!C12&gt;0,D130&gt;=Ziele!C12),56,"")</f>
        <v/>
      </c>
      <c r="L130" s="6" t="str">
        <f aca="false">IF(AND(AND(Ziele!$B$18="Plan bereit",56&lt;=Ziele!$B$5),Ziele!C13&gt;0,E130&gt;=Ziele!C13),56,"")</f>
        <v/>
      </c>
      <c r="M130" s="6" t="str">
        <f aca="false">IF(AND(AND(Ziele!$B$18="Plan bereit",56&lt;=Ziele!$B$5),Ziele!C14&gt;0,F130&gt;=Ziele!C14),56,"")</f>
        <v/>
      </c>
      <c r="N130" s="6" t="str">
        <f aca="false">IF(AND(AND(Ziele!$B$18="Plan bereit",56&lt;=Ziele!$B$5),Ziele!C15&gt;0,G130&gt;=Ziele!C15),56,"")</f>
        <v/>
      </c>
    </row>
    <row r="131" customFormat="false" ht="22.5" hidden="false" customHeight="true" outlineLevel="0" collapsed="false">
      <c r="A131" s="6" t="str">
        <f aca="false">IF(AND(Ziele!$B$18="Plan bereit",57&lt;=Ziele!$B$5),57,"")</f>
        <v/>
      </c>
      <c r="B131" s="7" t="str">
        <f aca="false">IF(AND(Ziele!$B$18="Plan bereit",57&lt;=Ziele!$B$5),ROUND(B130+E63,2),"")</f>
        <v/>
      </c>
      <c r="C131" s="7" t="str">
        <f aca="false">IF(AND(Ziele!$B$18="Plan bereit",57&lt;=Ziele!$B$5),ROUND(C130+F63,2),"")</f>
        <v/>
      </c>
      <c r="D131" s="7" t="str">
        <f aca="false">IF(AND(Ziele!$B$18="Plan bereit",57&lt;=Ziele!$B$5),ROUND(D130+G63,2),"")</f>
        <v/>
      </c>
      <c r="E131" s="7" t="str">
        <f aca="false">IF(AND(Ziele!$B$18="Plan bereit",57&lt;=Ziele!$B$5),ROUND(E130+H63,2),"")</f>
        <v/>
      </c>
      <c r="F131" s="7" t="str">
        <f aca="false">IF(AND(Ziele!$B$18="Plan bereit",57&lt;=Ziele!$B$5),ROUND(F130+I63,2),"")</f>
        <v/>
      </c>
      <c r="G131" s="7" t="str">
        <f aca="false">IF(AND(Ziele!$B$18="Plan bereit",57&lt;=Ziele!$B$5),ROUND(G130+J63,2),"")</f>
        <v/>
      </c>
      <c r="H131" s="7" t="str">
        <f aca="false">IF(AND(Ziele!$B$18="Plan bereit",57&lt;=Ziele!$B$5),ROUND(SUM(B131:G131),2),"")</f>
        <v/>
      </c>
      <c r="I131" s="6" t="str">
        <f aca="false">IF(AND(AND(Ziele!$B$18="Plan bereit",57&lt;=Ziele!$B$5),Ziele!C10&gt;0,B131&gt;=Ziele!C10),57,"")</f>
        <v/>
      </c>
      <c r="J131" s="6" t="str">
        <f aca="false">IF(AND(AND(Ziele!$B$18="Plan bereit",57&lt;=Ziele!$B$5),Ziele!C11&gt;0,C131&gt;=Ziele!C11),57,"")</f>
        <v/>
      </c>
      <c r="K131" s="6" t="str">
        <f aca="false">IF(AND(AND(Ziele!$B$18="Plan bereit",57&lt;=Ziele!$B$5),Ziele!C12&gt;0,D131&gt;=Ziele!C12),57,"")</f>
        <v/>
      </c>
      <c r="L131" s="6" t="str">
        <f aca="false">IF(AND(AND(Ziele!$B$18="Plan bereit",57&lt;=Ziele!$B$5),Ziele!C13&gt;0,E131&gt;=Ziele!C13),57,"")</f>
        <v/>
      </c>
      <c r="M131" s="6" t="str">
        <f aca="false">IF(AND(AND(Ziele!$B$18="Plan bereit",57&lt;=Ziele!$B$5),Ziele!C14&gt;0,F131&gt;=Ziele!C14),57,"")</f>
        <v/>
      </c>
      <c r="N131" s="6" t="str">
        <f aca="false">IF(AND(AND(Ziele!$B$18="Plan bereit",57&lt;=Ziele!$B$5),Ziele!C15&gt;0,G131&gt;=Ziele!C15),57,"")</f>
        <v/>
      </c>
    </row>
    <row r="132" customFormat="false" ht="22.5" hidden="false" customHeight="true" outlineLevel="0" collapsed="false">
      <c r="A132" s="6" t="str">
        <f aca="false">IF(AND(Ziele!$B$18="Plan bereit",58&lt;=Ziele!$B$5),58,"")</f>
        <v/>
      </c>
      <c r="B132" s="7" t="str">
        <f aca="false">IF(AND(Ziele!$B$18="Plan bereit",58&lt;=Ziele!$B$5),ROUND(B131+E64,2),"")</f>
        <v/>
      </c>
      <c r="C132" s="7" t="str">
        <f aca="false">IF(AND(Ziele!$B$18="Plan bereit",58&lt;=Ziele!$B$5),ROUND(C131+F64,2),"")</f>
        <v/>
      </c>
      <c r="D132" s="7" t="str">
        <f aca="false">IF(AND(Ziele!$B$18="Plan bereit",58&lt;=Ziele!$B$5),ROUND(D131+G64,2),"")</f>
        <v/>
      </c>
      <c r="E132" s="7" t="str">
        <f aca="false">IF(AND(Ziele!$B$18="Plan bereit",58&lt;=Ziele!$B$5),ROUND(E131+H64,2),"")</f>
        <v/>
      </c>
      <c r="F132" s="7" t="str">
        <f aca="false">IF(AND(Ziele!$B$18="Plan bereit",58&lt;=Ziele!$B$5),ROUND(F131+I64,2),"")</f>
        <v/>
      </c>
      <c r="G132" s="7" t="str">
        <f aca="false">IF(AND(Ziele!$B$18="Plan bereit",58&lt;=Ziele!$B$5),ROUND(G131+J64,2),"")</f>
        <v/>
      </c>
      <c r="H132" s="7" t="str">
        <f aca="false">IF(AND(Ziele!$B$18="Plan bereit",58&lt;=Ziele!$B$5),ROUND(SUM(B132:G132),2),"")</f>
        <v/>
      </c>
      <c r="I132" s="6" t="str">
        <f aca="false">IF(AND(AND(Ziele!$B$18="Plan bereit",58&lt;=Ziele!$B$5),Ziele!C10&gt;0,B132&gt;=Ziele!C10),58,"")</f>
        <v/>
      </c>
      <c r="J132" s="6" t="str">
        <f aca="false">IF(AND(AND(Ziele!$B$18="Plan bereit",58&lt;=Ziele!$B$5),Ziele!C11&gt;0,C132&gt;=Ziele!C11),58,"")</f>
        <v/>
      </c>
      <c r="K132" s="6" t="str">
        <f aca="false">IF(AND(AND(Ziele!$B$18="Plan bereit",58&lt;=Ziele!$B$5),Ziele!C12&gt;0,D132&gt;=Ziele!C12),58,"")</f>
        <v/>
      </c>
      <c r="L132" s="6" t="str">
        <f aca="false">IF(AND(AND(Ziele!$B$18="Plan bereit",58&lt;=Ziele!$B$5),Ziele!C13&gt;0,E132&gt;=Ziele!C13),58,"")</f>
        <v/>
      </c>
      <c r="M132" s="6" t="str">
        <f aca="false">IF(AND(AND(Ziele!$B$18="Plan bereit",58&lt;=Ziele!$B$5),Ziele!C14&gt;0,F132&gt;=Ziele!C14),58,"")</f>
        <v/>
      </c>
      <c r="N132" s="6" t="str">
        <f aca="false">IF(AND(AND(Ziele!$B$18="Plan bereit",58&lt;=Ziele!$B$5),Ziele!C15&gt;0,G132&gt;=Ziele!C15),58,"")</f>
        <v/>
      </c>
    </row>
    <row r="133" customFormat="false" ht="22.5" hidden="false" customHeight="true" outlineLevel="0" collapsed="false">
      <c r="A133" s="6" t="str">
        <f aca="false">IF(AND(Ziele!$B$18="Plan bereit",59&lt;=Ziele!$B$5),59,"")</f>
        <v/>
      </c>
      <c r="B133" s="7" t="str">
        <f aca="false">IF(AND(Ziele!$B$18="Plan bereit",59&lt;=Ziele!$B$5),ROUND(B132+E65,2),"")</f>
        <v/>
      </c>
      <c r="C133" s="7" t="str">
        <f aca="false">IF(AND(Ziele!$B$18="Plan bereit",59&lt;=Ziele!$B$5),ROUND(C132+F65,2),"")</f>
        <v/>
      </c>
      <c r="D133" s="7" t="str">
        <f aca="false">IF(AND(Ziele!$B$18="Plan bereit",59&lt;=Ziele!$B$5),ROUND(D132+G65,2),"")</f>
        <v/>
      </c>
      <c r="E133" s="7" t="str">
        <f aca="false">IF(AND(Ziele!$B$18="Plan bereit",59&lt;=Ziele!$B$5),ROUND(E132+H65,2),"")</f>
        <v/>
      </c>
      <c r="F133" s="7" t="str">
        <f aca="false">IF(AND(Ziele!$B$18="Plan bereit",59&lt;=Ziele!$B$5),ROUND(F132+I65,2),"")</f>
        <v/>
      </c>
      <c r="G133" s="7" t="str">
        <f aca="false">IF(AND(Ziele!$B$18="Plan bereit",59&lt;=Ziele!$B$5),ROUND(G132+J65,2),"")</f>
        <v/>
      </c>
      <c r="H133" s="7" t="str">
        <f aca="false">IF(AND(Ziele!$B$18="Plan bereit",59&lt;=Ziele!$B$5),ROUND(SUM(B133:G133),2),"")</f>
        <v/>
      </c>
      <c r="I133" s="6" t="str">
        <f aca="false">IF(AND(AND(Ziele!$B$18="Plan bereit",59&lt;=Ziele!$B$5),Ziele!C10&gt;0,B133&gt;=Ziele!C10),59,"")</f>
        <v/>
      </c>
      <c r="J133" s="6" t="str">
        <f aca="false">IF(AND(AND(Ziele!$B$18="Plan bereit",59&lt;=Ziele!$B$5),Ziele!C11&gt;0,C133&gt;=Ziele!C11),59,"")</f>
        <v/>
      </c>
      <c r="K133" s="6" t="str">
        <f aca="false">IF(AND(AND(Ziele!$B$18="Plan bereit",59&lt;=Ziele!$B$5),Ziele!C12&gt;0,D133&gt;=Ziele!C12),59,"")</f>
        <v/>
      </c>
      <c r="L133" s="6" t="str">
        <f aca="false">IF(AND(AND(Ziele!$B$18="Plan bereit",59&lt;=Ziele!$B$5),Ziele!C13&gt;0,E133&gt;=Ziele!C13),59,"")</f>
        <v/>
      </c>
      <c r="M133" s="6" t="str">
        <f aca="false">IF(AND(AND(Ziele!$B$18="Plan bereit",59&lt;=Ziele!$B$5),Ziele!C14&gt;0,F133&gt;=Ziele!C14),59,"")</f>
        <v/>
      </c>
      <c r="N133" s="6" t="str">
        <f aca="false">IF(AND(AND(Ziele!$B$18="Plan bereit",59&lt;=Ziele!$B$5),Ziele!C15&gt;0,G133&gt;=Ziele!C15),59,"")</f>
        <v/>
      </c>
    </row>
    <row r="134" customFormat="false" ht="22.5" hidden="false" customHeight="true" outlineLevel="0" collapsed="false">
      <c r="A134" s="6" t="str">
        <f aca="false">IF(AND(Ziele!$B$18="Plan bereit",60&lt;=Ziele!$B$5),60,"")</f>
        <v/>
      </c>
      <c r="B134" s="7" t="str">
        <f aca="false">IF(AND(Ziele!$B$18="Plan bereit",60&lt;=Ziele!$B$5),ROUND(B133+E66,2),"")</f>
        <v/>
      </c>
      <c r="C134" s="7" t="str">
        <f aca="false">IF(AND(Ziele!$B$18="Plan bereit",60&lt;=Ziele!$B$5),ROUND(C133+F66,2),"")</f>
        <v/>
      </c>
      <c r="D134" s="7" t="str">
        <f aca="false">IF(AND(Ziele!$B$18="Plan bereit",60&lt;=Ziele!$B$5),ROUND(D133+G66,2),"")</f>
        <v/>
      </c>
      <c r="E134" s="7" t="str">
        <f aca="false">IF(AND(Ziele!$B$18="Plan bereit",60&lt;=Ziele!$B$5),ROUND(E133+H66,2),"")</f>
        <v/>
      </c>
      <c r="F134" s="7" t="str">
        <f aca="false">IF(AND(Ziele!$B$18="Plan bereit",60&lt;=Ziele!$B$5),ROUND(F133+I66,2),"")</f>
        <v/>
      </c>
      <c r="G134" s="7" t="str">
        <f aca="false">IF(AND(Ziele!$B$18="Plan bereit",60&lt;=Ziele!$B$5),ROUND(G133+J66,2),"")</f>
        <v/>
      </c>
      <c r="H134" s="7" t="str">
        <f aca="false">IF(AND(Ziele!$B$18="Plan bereit",60&lt;=Ziele!$B$5),ROUND(SUM(B134:G134),2),"")</f>
        <v/>
      </c>
      <c r="I134" s="6" t="str">
        <f aca="false">IF(AND(AND(Ziele!$B$18="Plan bereit",60&lt;=Ziele!$B$5),Ziele!C10&gt;0,B134&gt;=Ziele!C10),60,"")</f>
        <v/>
      </c>
      <c r="J134" s="6" t="str">
        <f aca="false">IF(AND(AND(Ziele!$B$18="Plan bereit",60&lt;=Ziele!$B$5),Ziele!C11&gt;0,C134&gt;=Ziele!C11),60,"")</f>
        <v/>
      </c>
      <c r="K134" s="6" t="str">
        <f aca="false">IF(AND(AND(Ziele!$B$18="Plan bereit",60&lt;=Ziele!$B$5),Ziele!C12&gt;0,D134&gt;=Ziele!C12),60,"")</f>
        <v/>
      </c>
      <c r="L134" s="6" t="str">
        <f aca="false">IF(AND(AND(Ziele!$B$18="Plan bereit",60&lt;=Ziele!$B$5),Ziele!C13&gt;0,E134&gt;=Ziele!C13),60,"")</f>
        <v/>
      </c>
      <c r="M134" s="6" t="str">
        <f aca="false">IF(AND(AND(Ziele!$B$18="Plan bereit",60&lt;=Ziele!$B$5),Ziele!C14&gt;0,F134&gt;=Ziele!C14),60,"")</f>
        <v/>
      </c>
      <c r="N134" s="6" t="str">
        <f aca="false">IF(AND(AND(Ziele!$B$18="Plan bereit",60&lt;=Ziele!$B$5),Ziele!C15&gt;0,G134&gt;=Ziele!C15),60,"")</f>
        <v/>
      </c>
    </row>
    <row r="200" ht="24" customHeight="true">
      <c r="A200" s="1" t="str">
        <f>"Druckbereich · Zuordnungen B · Teil 1/2"</f>
        <v>Druckbereich · Zuordnungen B · Teil 1/2</v>
      </c>
    </row>
    <row r="201" ht="36" customHeight="true">
      <c r="A201" s="2" t="str">
        <f>"Mein Plan: "&amp;Ziele!$B$5&amp;IF(Ziele!$B$5=1," Monat. "," Monate. ")&amp;"Ziele 1–3. Teil 2 zeigt Ziele 4–6, freien Rest und Kontrolle. Die unberechneten Zeilen bis Monat 60 bleiben leer."</f>
        <v>Mein Plan: 48 Monate. Ziele 1–3. Teil 2 zeigt Ziele 4–6, freien Rest und Kontrolle. Die unberechneten Zeilen bis Monat 60 bleiben leer.</v>
      </c>
    </row>
    <row r="202" ht="33.75" customHeight="true">
      <c r="A202" s="3" t="str">
        <f>A6</f>
        <v>Monat</v>
      </c>
      <c r="B202" s="3" t="str">
        <f>B6</f>
        <v>Sparbudget</v>
      </c>
      <c r="C202" s="3" t="str">
        <f>C6</f>
        <v>Weitere gezahlt</v>
      </c>
      <c r="D202" s="3" t="str">
        <f>D6</f>
        <v>Weitere ungedeckt</v>
      </c>
      <c r="E202" s="3" t="str">
        <f>E6</f>
        <v>Reserve</v>
      </c>
      <c r="F202" s="3" t="str">
        <f>F6</f>
        <v>Eigenkapital</v>
      </c>
      <c r="G202" s="3" t="str">
        <f>G6</f>
        <v>Ziel 3</v>
      </c>
    </row>
    <row r="203" ht="14" customHeight="true">
      <c r="A203" s="6" t="n">
        <f>IF(A7="","",A7)</f>
        <v>1</v>
      </c>
      <c r="B203" s="7" t="n">
        <f>IF(A7="","",B7)</f>
        <v>500</v>
      </c>
      <c r="C203" s="7" t="n">
        <f>IF(A7="","",C7)</f>
        <v>150</v>
      </c>
      <c r="D203" s="7" t="n">
        <f>IF(A7="","",D7)</f>
        <v>0</v>
      </c>
      <c r="E203" s="7" t="n">
        <f>IF(A7="","",E7)</f>
        <v>200</v>
      </c>
      <c r="F203" s="7" t="n">
        <f>IF(A7="","",F7)</f>
        <v>150</v>
      </c>
      <c r="G203" s="7" t="n">
        <f>IF(A7="","",G7)</f>
        <v>0</v>
      </c>
    </row>
    <row r="204" ht="14" customHeight="true">
      <c r="A204" s="6" t="n">
        <f>IF(A8="","",A8)</f>
        <v>2</v>
      </c>
      <c r="B204" s="7" t="n">
        <f>IF(A8="","",B8)</f>
        <v>500</v>
      </c>
      <c r="C204" s="7" t="n">
        <f>IF(A8="","",C8)</f>
        <v>150</v>
      </c>
      <c r="D204" s="7" t="n">
        <f>IF(A8="","",D8)</f>
        <v>0</v>
      </c>
      <c r="E204" s="7" t="n">
        <f>IF(A8="","",E8)</f>
        <v>200</v>
      </c>
      <c r="F204" s="7" t="n">
        <f>IF(A8="","",F8)</f>
        <v>150</v>
      </c>
      <c r="G204" s="7" t="n">
        <f>IF(A8="","",G8)</f>
        <v>0</v>
      </c>
    </row>
    <row r="205" ht="14" customHeight="true">
      <c r="A205" s="6" t="n">
        <f>IF(A9="","",A9)</f>
        <v>3</v>
      </c>
      <c r="B205" s="7" t="n">
        <f>IF(A9="","",B9)</f>
        <v>500</v>
      </c>
      <c r="C205" s="7" t="n">
        <f>IF(A9="","",C9)</f>
        <v>150</v>
      </c>
      <c r="D205" s="7" t="n">
        <f>IF(A9="","",D9)</f>
        <v>0</v>
      </c>
      <c r="E205" s="7" t="n">
        <f>IF(A9="","",E9)</f>
        <v>200</v>
      </c>
      <c r="F205" s="7" t="n">
        <f>IF(A9="","",F9)</f>
        <v>150</v>
      </c>
      <c r="G205" s="7" t="n">
        <f>IF(A9="","",G9)</f>
        <v>0</v>
      </c>
    </row>
    <row r="206" ht="14" customHeight="true">
      <c r="A206" s="6" t="n">
        <f>IF(A10="","",A10)</f>
        <v>4</v>
      </c>
      <c r="B206" s="7" t="n">
        <f>IF(A10="","",B10)</f>
        <v>500</v>
      </c>
      <c r="C206" s="7" t="n">
        <f>IF(A10="","",C10)</f>
        <v>150</v>
      </c>
      <c r="D206" s="7" t="n">
        <f>IF(A10="","",D10)</f>
        <v>0</v>
      </c>
      <c r="E206" s="7" t="n">
        <f>IF(A10="","",E10)</f>
        <v>200</v>
      </c>
      <c r="F206" s="7" t="n">
        <f>IF(A10="","",F10)</f>
        <v>150</v>
      </c>
      <c r="G206" s="7" t="n">
        <f>IF(A10="","",G10)</f>
        <v>0</v>
      </c>
    </row>
    <row r="207" ht="14" customHeight="true">
      <c r="A207" s="6" t="n">
        <f>IF(A11="","",A11)</f>
        <v>5</v>
      </c>
      <c r="B207" s="7" t="n">
        <f>IF(A11="","",B11)</f>
        <v>500</v>
      </c>
      <c r="C207" s="7" t="n">
        <f>IF(A11="","",C11)</f>
        <v>150</v>
      </c>
      <c r="D207" s="7" t="n">
        <f>IF(A11="","",D11)</f>
        <v>0</v>
      </c>
      <c r="E207" s="7" t="n">
        <f>IF(A11="","",E11)</f>
        <v>200</v>
      </c>
      <c r="F207" s="7" t="n">
        <f>IF(A11="","",F11)</f>
        <v>150</v>
      </c>
      <c r="G207" s="7" t="n">
        <f>IF(A11="","",G11)</f>
        <v>0</v>
      </c>
    </row>
    <row r="208" ht="14" customHeight="true">
      <c r="A208" s="6" t="n">
        <f>IF(A12="","",A12)</f>
        <v>6</v>
      </c>
      <c r="B208" s="7" t="n">
        <f>IF(A12="","",B12)</f>
        <v>500</v>
      </c>
      <c r="C208" s="7" t="n">
        <f>IF(A12="","",C12)</f>
        <v>150</v>
      </c>
      <c r="D208" s="7" t="n">
        <f>IF(A12="","",D12)</f>
        <v>0</v>
      </c>
      <c r="E208" s="7" t="n">
        <f>IF(A12="","",E12)</f>
        <v>200</v>
      </c>
      <c r="F208" s="7" t="n">
        <f>IF(A12="","",F12)</f>
        <v>150</v>
      </c>
      <c r="G208" s="7" t="n">
        <f>IF(A12="","",G12)</f>
        <v>0</v>
      </c>
    </row>
    <row r="209" ht="14" customHeight="true">
      <c r="A209" s="6" t="n">
        <f>IF(A13="","",A13)</f>
        <v>7</v>
      </c>
      <c r="B209" s="7" t="n">
        <f>IF(A13="","",B13)</f>
        <v>500</v>
      </c>
      <c r="C209" s="7" t="n">
        <f>IF(A13="","",C13)</f>
        <v>150</v>
      </c>
      <c r="D209" s="7" t="n">
        <f>IF(A13="","",D13)</f>
        <v>0</v>
      </c>
      <c r="E209" s="7" t="n">
        <f>IF(A13="","",E13)</f>
        <v>200</v>
      </c>
      <c r="F209" s="7" t="n">
        <f>IF(A13="","",F13)</f>
        <v>150</v>
      </c>
      <c r="G209" s="7" t="n">
        <f>IF(A13="","",G13)</f>
        <v>0</v>
      </c>
    </row>
    <row r="210" ht="14" customHeight="true">
      <c r="A210" s="6" t="n">
        <f>IF(A14="","",A14)</f>
        <v>8</v>
      </c>
      <c r="B210" s="7" t="n">
        <f>IF(A14="","",B14)</f>
        <v>500</v>
      </c>
      <c r="C210" s="7" t="n">
        <f>IF(A14="","",C14)</f>
        <v>150</v>
      </c>
      <c r="D210" s="7" t="n">
        <f>IF(A14="","",D14)</f>
        <v>0</v>
      </c>
      <c r="E210" s="7" t="n">
        <f>IF(A14="","",E14)</f>
        <v>200</v>
      </c>
      <c r="F210" s="7" t="n">
        <f>IF(A14="","",F14)</f>
        <v>150</v>
      </c>
      <c r="G210" s="7" t="n">
        <f>IF(A14="","",G14)</f>
        <v>0</v>
      </c>
    </row>
    <row r="211" ht="14" customHeight="true">
      <c r="A211" s="6" t="n">
        <f>IF(A15="","",A15)</f>
        <v>9</v>
      </c>
      <c r="B211" s="7" t="n">
        <f>IF(A15="","",B15)</f>
        <v>500</v>
      </c>
      <c r="C211" s="7" t="n">
        <f>IF(A15="","",C15)</f>
        <v>150</v>
      </c>
      <c r="D211" s="7" t="n">
        <f>IF(A15="","",D15)</f>
        <v>0</v>
      </c>
      <c r="E211" s="7" t="n">
        <f>IF(A15="","",E15)</f>
        <v>200</v>
      </c>
      <c r="F211" s="7" t="n">
        <f>IF(A15="","",F15)</f>
        <v>150</v>
      </c>
      <c r="G211" s="7" t="n">
        <f>IF(A15="","",G15)</f>
        <v>0</v>
      </c>
    </row>
    <row r="212" ht="14" customHeight="true">
      <c r="A212" s="6" t="n">
        <f>IF(A16="","",A16)</f>
        <v>10</v>
      </c>
      <c r="B212" s="7" t="n">
        <f>IF(A16="","",B16)</f>
        <v>500</v>
      </c>
      <c r="C212" s="7" t="n">
        <f>IF(A16="","",C16)</f>
        <v>150</v>
      </c>
      <c r="D212" s="7" t="n">
        <f>IF(A16="","",D16)</f>
        <v>0</v>
      </c>
      <c r="E212" s="7" t="n">
        <f>IF(A16="","",E16)</f>
        <v>200</v>
      </c>
      <c r="F212" s="7" t="n">
        <f>IF(A16="","",F16)</f>
        <v>150</v>
      </c>
      <c r="G212" s="7" t="n">
        <f>IF(A16="","",G16)</f>
        <v>0</v>
      </c>
    </row>
    <row r="213" ht="14" customHeight="true">
      <c r="A213" s="6" t="n">
        <f>IF(A17="","",A17)</f>
        <v>11</v>
      </c>
      <c r="B213" s="7" t="n">
        <f>IF(A17="","",B17)</f>
        <v>500</v>
      </c>
      <c r="C213" s="7" t="n">
        <f>IF(A17="","",C17)</f>
        <v>150</v>
      </c>
      <c r="D213" s="7" t="n">
        <f>IF(A17="","",D17)</f>
        <v>0</v>
      </c>
      <c r="E213" s="7" t="n">
        <f>IF(A17="","",E17)</f>
        <v>0</v>
      </c>
      <c r="F213" s="7" t="n">
        <f>IF(A17="","",F17)</f>
        <v>350</v>
      </c>
      <c r="G213" s="7" t="n">
        <f>IF(A17="","",G17)</f>
        <v>0</v>
      </c>
    </row>
    <row r="214" ht="14" customHeight="true">
      <c r="A214" s="6" t="n">
        <f>IF(A18="","",A18)</f>
        <v>12</v>
      </c>
      <c r="B214" s="7" t="n">
        <f>IF(A18="","",B18)</f>
        <v>500</v>
      </c>
      <c r="C214" s="7" t="n">
        <f>IF(A18="","",C18)</f>
        <v>150</v>
      </c>
      <c r="D214" s="7" t="n">
        <f>IF(A18="","",D18)</f>
        <v>0</v>
      </c>
      <c r="E214" s="7" t="n">
        <f>IF(A18="","",E18)</f>
        <v>0</v>
      </c>
      <c r="F214" s="7" t="n">
        <f>IF(A18="","",F18)</f>
        <v>350</v>
      </c>
      <c r="G214" s="7" t="n">
        <f>IF(A18="","",G18)</f>
        <v>0</v>
      </c>
    </row>
    <row r="215" ht="14" customHeight="true">
      <c r="A215" s="6" t="n">
        <f>IF(A19="","",A19)</f>
        <v>13</v>
      </c>
      <c r="B215" s="7" t="n">
        <f>IF(A19="","",B19)</f>
        <v>350</v>
      </c>
      <c r="C215" s="7" t="n">
        <f>IF(A19="","",C19)</f>
        <v>150</v>
      </c>
      <c r="D215" s="7" t="n">
        <f>IF(A19="","",D19)</f>
        <v>0</v>
      </c>
      <c r="E215" s="7" t="n">
        <f>IF(A19="","",E19)</f>
        <v>0</v>
      </c>
      <c r="F215" s="7" t="n">
        <f>IF(A19="","",F19)</f>
        <v>200</v>
      </c>
      <c r="G215" s="7" t="n">
        <f>IF(A19="","",G19)</f>
        <v>0</v>
      </c>
    </row>
    <row r="216" ht="14" customHeight="true">
      <c r="A216" s="6" t="n">
        <f>IF(A20="","",A20)</f>
        <v>14</v>
      </c>
      <c r="B216" s="7" t="n">
        <f>IF(A20="","",B20)</f>
        <v>350</v>
      </c>
      <c r="C216" s="7" t="n">
        <f>IF(A20="","",C20)</f>
        <v>150</v>
      </c>
      <c r="D216" s="7" t="n">
        <f>IF(A20="","",D20)</f>
        <v>0</v>
      </c>
      <c r="E216" s="7" t="n">
        <f>IF(A20="","",E20)</f>
        <v>0</v>
      </c>
      <c r="F216" s="7" t="n">
        <f>IF(A20="","",F20)</f>
        <v>200</v>
      </c>
      <c r="G216" s="7" t="n">
        <f>IF(A20="","",G20)</f>
        <v>0</v>
      </c>
    </row>
    <row r="217" ht="14" customHeight="true">
      <c r="A217" s="6" t="n">
        <f>IF(A21="","",A21)</f>
        <v>15</v>
      </c>
      <c r="B217" s="7" t="n">
        <f>IF(A21="","",B21)</f>
        <v>350</v>
      </c>
      <c r="C217" s="7" t="n">
        <f>IF(A21="","",C21)</f>
        <v>150</v>
      </c>
      <c r="D217" s="7" t="n">
        <f>IF(A21="","",D21)</f>
        <v>0</v>
      </c>
      <c r="E217" s="7" t="n">
        <f>IF(A21="","",E21)</f>
        <v>0</v>
      </c>
      <c r="F217" s="7" t="n">
        <f>IF(A21="","",F21)</f>
        <v>200</v>
      </c>
      <c r="G217" s="7" t="n">
        <f>IF(A21="","",G21)</f>
        <v>0</v>
      </c>
    </row>
    <row r="218" ht="14" customHeight="true">
      <c r="A218" s="6" t="n">
        <f>IF(A22="","",A22)</f>
        <v>16</v>
      </c>
      <c r="B218" s="7" t="n">
        <f>IF(A22="","",B22)</f>
        <v>350</v>
      </c>
      <c r="C218" s="7" t="n">
        <f>IF(A22="","",C22)</f>
        <v>150</v>
      </c>
      <c r="D218" s="7" t="n">
        <f>IF(A22="","",D22)</f>
        <v>0</v>
      </c>
      <c r="E218" s="7" t="n">
        <f>IF(A22="","",E22)</f>
        <v>0</v>
      </c>
      <c r="F218" s="7" t="n">
        <f>IF(A22="","",F22)</f>
        <v>200</v>
      </c>
      <c r="G218" s="7" t="n">
        <f>IF(A22="","",G22)</f>
        <v>0</v>
      </c>
    </row>
    <row r="219" ht="14" customHeight="true">
      <c r="A219" s="6" t="n">
        <f>IF(A23="","",A23)</f>
        <v>17</v>
      </c>
      <c r="B219" s="7" t="n">
        <f>IF(A23="","",B23)</f>
        <v>350</v>
      </c>
      <c r="C219" s="7" t="n">
        <f>IF(A23="","",C23)</f>
        <v>150</v>
      </c>
      <c r="D219" s="7" t="n">
        <f>IF(A23="","",D23)</f>
        <v>0</v>
      </c>
      <c r="E219" s="7" t="n">
        <f>IF(A23="","",E23)</f>
        <v>0</v>
      </c>
      <c r="F219" s="7" t="n">
        <f>IF(A23="","",F23)</f>
        <v>200</v>
      </c>
      <c r="G219" s="7" t="n">
        <f>IF(A23="","",G23)</f>
        <v>0</v>
      </c>
    </row>
    <row r="220" ht="14" customHeight="true">
      <c r="A220" s="6" t="n">
        <f>IF(A24="","",A24)</f>
        <v>18</v>
      </c>
      <c r="B220" s="7" t="n">
        <f>IF(A24="","",B24)</f>
        <v>350</v>
      </c>
      <c r="C220" s="7" t="n">
        <f>IF(A24="","",C24)</f>
        <v>150</v>
      </c>
      <c r="D220" s="7" t="n">
        <f>IF(A24="","",D24)</f>
        <v>0</v>
      </c>
      <c r="E220" s="7" t="n">
        <f>IF(A24="","",E24)</f>
        <v>0</v>
      </c>
      <c r="F220" s="7" t="n">
        <f>IF(A24="","",F24)</f>
        <v>200</v>
      </c>
      <c r="G220" s="7" t="n">
        <f>IF(A24="","",G24)</f>
        <v>0</v>
      </c>
    </row>
    <row r="221" ht="14" customHeight="true">
      <c r="A221" s="6" t="n">
        <f>IF(A25="","",A25)</f>
        <v>19</v>
      </c>
      <c r="B221" s="7" t="n">
        <f>IF(A25="","",B25)</f>
        <v>500</v>
      </c>
      <c r="C221" s="7" t="n">
        <f>IF(A25="","",C25)</f>
        <v>150</v>
      </c>
      <c r="D221" s="7" t="n">
        <f>IF(A25="","",D25)</f>
        <v>0</v>
      </c>
      <c r="E221" s="7" t="n">
        <f>IF(A25="","",E25)</f>
        <v>0</v>
      </c>
      <c r="F221" s="7" t="n">
        <f>IF(A25="","",F25)</f>
        <v>350</v>
      </c>
      <c r="G221" s="7" t="n">
        <f>IF(A25="","",G25)</f>
        <v>0</v>
      </c>
    </row>
    <row r="222" ht="14" customHeight="true">
      <c r="A222" s="6" t="n">
        <f>IF(A26="","",A26)</f>
        <v>20</v>
      </c>
      <c r="B222" s="7" t="n">
        <f>IF(A26="","",B26)</f>
        <v>500</v>
      </c>
      <c r="C222" s="7" t="n">
        <f>IF(A26="","",C26)</f>
        <v>150</v>
      </c>
      <c r="D222" s="7" t="n">
        <f>IF(A26="","",D26)</f>
        <v>0</v>
      </c>
      <c r="E222" s="7" t="n">
        <f>IF(A26="","",E26)</f>
        <v>0</v>
      </c>
      <c r="F222" s="7" t="n">
        <f>IF(A26="","",F26)</f>
        <v>350</v>
      </c>
      <c r="G222" s="7" t="n">
        <f>IF(A26="","",G26)</f>
        <v>0</v>
      </c>
    </row>
    <row r="223" ht="14" customHeight="true">
      <c r="A223" s="6" t="n">
        <f>IF(A27="","",A27)</f>
        <v>21</v>
      </c>
      <c r="B223" s="7" t="n">
        <f>IF(A27="","",B27)</f>
        <v>500</v>
      </c>
      <c r="C223" s="7" t="n">
        <f>IF(A27="","",C27)</f>
        <v>150</v>
      </c>
      <c r="D223" s="7" t="n">
        <f>IF(A27="","",D27)</f>
        <v>0</v>
      </c>
      <c r="E223" s="7" t="n">
        <f>IF(A27="","",E27)</f>
        <v>0</v>
      </c>
      <c r="F223" s="7" t="n">
        <f>IF(A27="","",F27)</f>
        <v>350</v>
      </c>
      <c r="G223" s="7" t="n">
        <f>IF(A27="","",G27)</f>
        <v>0</v>
      </c>
    </row>
    <row r="224" ht="14" customHeight="true">
      <c r="A224" s="6" t="n">
        <f>IF(A28="","",A28)</f>
        <v>22</v>
      </c>
      <c r="B224" s="7" t="n">
        <f>IF(A28="","",B28)</f>
        <v>500</v>
      </c>
      <c r="C224" s="7" t="n">
        <f>IF(A28="","",C28)</f>
        <v>150</v>
      </c>
      <c r="D224" s="7" t="n">
        <f>IF(A28="","",D28)</f>
        <v>0</v>
      </c>
      <c r="E224" s="7" t="n">
        <f>IF(A28="","",E28)</f>
        <v>0</v>
      </c>
      <c r="F224" s="7" t="n">
        <f>IF(A28="","",F28)</f>
        <v>350</v>
      </c>
      <c r="G224" s="7" t="n">
        <f>IF(A28="","",G28)</f>
        <v>0</v>
      </c>
    </row>
    <row r="225" ht="14" customHeight="true">
      <c r="A225" s="6" t="n">
        <f>IF(A29="","",A29)</f>
        <v>23</v>
      </c>
      <c r="B225" s="7" t="n">
        <f>IF(A29="","",B29)</f>
        <v>500</v>
      </c>
      <c r="C225" s="7" t="n">
        <f>IF(A29="","",C29)</f>
        <v>150</v>
      </c>
      <c r="D225" s="7" t="n">
        <f>IF(A29="","",D29)</f>
        <v>0</v>
      </c>
      <c r="E225" s="7" t="n">
        <f>IF(A29="","",E29)</f>
        <v>0</v>
      </c>
      <c r="F225" s="7" t="n">
        <f>IF(A29="","",F29)</f>
        <v>350</v>
      </c>
      <c r="G225" s="7" t="n">
        <f>IF(A29="","",G29)</f>
        <v>0</v>
      </c>
    </row>
    <row r="226" ht="14" customHeight="true">
      <c r="A226" s="6" t="n">
        <f>IF(A30="","",A30)</f>
        <v>24</v>
      </c>
      <c r="B226" s="7" t="n">
        <f>IF(A30="","",B30)</f>
        <v>500</v>
      </c>
      <c r="C226" s="7" t="n">
        <f>IF(A30="","",C30)</f>
        <v>150</v>
      </c>
      <c r="D226" s="7" t="n">
        <f>IF(A30="","",D30)</f>
        <v>0</v>
      </c>
      <c r="E226" s="7" t="n">
        <f>IF(A30="","",E30)</f>
        <v>0</v>
      </c>
      <c r="F226" s="7" t="n">
        <f>IF(A30="","",F30)</f>
        <v>350</v>
      </c>
      <c r="G226" s="7" t="n">
        <f>IF(A30="","",G30)</f>
        <v>0</v>
      </c>
    </row>
    <row r="227" ht="14" customHeight="true">
      <c r="A227" s="6" t="n">
        <f>IF(A31="","",A31)</f>
        <v>25</v>
      </c>
      <c r="B227" s="7" t="n">
        <f>IF(A31="","",B31)</f>
        <v>500</v>
      </c>
      <c r="C227" s="7" t="n">
        <f>IF(A31="","",C31)</f>
        <v>150</v>
      </c>
      <c r="D227" s="7" t="n">
        <f>IF(A31="","",D31)</f>
        <v>0</v>
      </c>
      <c r="E227" s="7" t="n">
        <f>IF(A31="","",E31)</f>
        <v>0</v>
      </c>
      <c r="F227" s="7" t="n">
        <f>IF(A31="","",F31)</f>
        <v>350</v>
      </c>
      <c r="G227" s="7" t="n">
        <f>IF(A31="","",G31)</f>
        <v>0</v>
      </c>
    </row>
    <row r="228" ht="14" customHeight="true">
      <c r="A228" s="6" t="n">
        <f>IF(A32="","",A32)</f>
        <v>26</v>
      </c>
      <c r="B228" s="7" t="n">
        <f>IF(A32="","",B32)</f>
        <v>500</v>
      </c>
      <c r="C228" s="7" t="n">
        <f>IF(A32="","",C32)</f>
        <v>150</v>
      </c>
      <c r="D228" s="7" t="n">
        <f>IF(A32="","",D32)</f>
        <v>0</v>
      </c>
      <c r="E228" s="7" t="n">
        <f>IF(A32="","",E32)</f>
        <v>0</v>
      </c>
      <c r="F228" s="7" t="n">
        <f>IF(A32="","",F32)</f>
        <v>350</v>
      </c>
      <c r="G228" s="7" t="n">
        <f>IF(A32="","",G32)</f>
        <v>0</v>
      </c>
    </row>
    <row r="229" ht="14" customHeight="true">
      <c r="A229" s="6" t="n">
        <f>IF(A33="","",A33)</f>
        <v>27</v>
      </c>
      <c r="B229" s="7" t="n">
        <f>IF(A33="","",B33)</f>
        <v>500</v>
      </c>
      <c r="C229" s="7" t="n">
        <f>IF(A33="","",C33)</f>
        <v>150</v>
      </c>
      <c r="D229" s="7" t="n">
        <f>IF(A33="","",D33)</f>
        <v>0</v>
      </c>
      <c r="E229" s="7" t="n">
        <f>IF(A33="","",E33)</f>
        <v>0</v>
      </c>
      <c r="F229" s="7" t="n">
        <f>IF(A33="","",F33)</f>
        <v>350</v>
      </c>
      <c r="G229" s="7" t="n">
        <f>IF(A33="","",G33)</f>
        <v>0</v>
      </c>
    </row>
    <row r="230" ht="14" customHeight="true">
      <c r="A230" s="6" t="n">
        <f>IF(A34="","",A34)</f>
        <v>28</v>
      </c>
      <c r="B230" s="7" t="n">
        <f>IF(A34="","",B34)</f>
        <v>500</v>
      </c>
      <c r="C230" s="7" t="n">
        <f>IF(A34="","",C34)</f>
        <v>150</v>
      </c>
      <c r="D230" s="7" t="n">
        <f>IF(A34="","",D34)</f>
        <v>0</v>
      </c>
      <c r="E230" s="7" t="n">
        <f>IF(A34="","",E34)</f>
        <v>0</v>
      </c>
      <c r="F230" s="7" t="n">
        <f>IF(A34="","",F34)</f>
        <v>350</v>
      </c>
      <c r="G230" s="7" t="n">
        <f>IF(A34="","",G34)</f>
        <v>0</v>
      </c>
    </row>
    <row r="231" ht="14" customHeight="true">
      <c r="A231" s="6" t="n">
        <f>IF(A35="","",A35)</f>
        <v>29</v>
      </c>
      <c r="B231" s="7" t="n">
        <f>IF(A35="","",B35)</f>
        <v>500</v>
      </c>
      <c r="C231" s="7" t="n">
        <f>IF(A35="","",C35)</f>
        <v>150</v>
      </c>
      <c r="D231" s="7" t="n">
        <f>IF(A35="","",D35)</f>
        <v>0</v>
      </c>
      <c r="E231" s="7" t="n">
        <f>IF(A35="","",E35)</f>
        <v>0</v>
      </c>
      <c r="F231" s="7" t="n">
        <f>IF(A35="","",F35)</f>
        <v>350</v>
      </c>
      <c r="G231" s="7" t="n">
        <f>IF(A35="","",G35)</f>
        <v>0</v>
      </c>
    </row>
    <row r="232" ht="14" customHeight="true">
      <c r="A232" s="6" t="n">
        <f>IF(A36="","",A36)</f>
        <v>30</v>
      </c>
      <c r="B232" s="7" t="n">
        <f>IF(A36="","",B36)</f>
        <v>500</v>
      </c>
      <c r="C232" s="7" t="n">
        <f>IF(A36="","",C36)</f>
        <v>150</v>
      </c>
      <c r="D232" s="7" t="n">
        <f>IF(A36="","",D36)</f>
        <v>0</v>
      </c>
      <c r="E232" s="7" t="n">
        <f>IF(A36="","",E36)</f>
        <v>0</v>
      </c>
      <c r="F232" s="7" t="n">
        <f>IF(A36="","",F36)</f>
        <v>350</v>
      </c>
      <c r="G232" s="7" t="n">
        <f>IF(A36="","",G36)</f>
        <v>0</v>
      </c>
    </row>
    <row r="233" ht="14" customHeight="true">
      <c r="A233" s="6" t="n">
        <f>IF(A37="","",A37)</f>
        <v>31</v>
      </c>
      <c r="B233" s="7" t="n">
        <f>IF(A37="","",B37)</f>
        <v>500</v>
      </c>
      <c r="C233" s="7" t="n">
        <f>IF(A37="","",C37)</f>
        <v>150</v>
      </c>
      <c r="D233" s="7" t="n">
        <f>IF(A37="","",D37)</f>
        <v>0</v>
      </c>
      <c r="E233" s="7" t="n">
        <f>IF(A37="","",E37)</f>
        <v>0</v>
      </c>
      <c r="F233" s="7" t="n">
        <f>IF(A37="","",F37)</f>
        <v>350</v>
      </c>
      <c r="G233" s="7" t="n">
        <f>IF(A37="","",G37)</f>
        <v>0</v>
      </c>
    </row>
    <row r="234" ht="14" customHeight="true">
      <c r="A234" s="6" t="n">
        <f>IF(A38="","",A38)</f>
        <v>32</v>
      </c>
      <c r="B234" s="7" t="n">
        <f>IF(A38="","",B38)</f>
        <v>500</v>
      </c>
      <c r="C234" s="7" t="n">
        <f>IF(A38="","",C38)</f>
        <v>150</v>
      </c>
      <c r="D234" s="7" t="n">
        <f>IF(A38="","",D38)</f>
        <v>0</v>
      </c>
      <c r="E234" s="7" t="n">
        <f>IF(A38="","",E38)</f>
        <v>0</v>
      </c>
      <c r="F234" s="7" t="n">
        <f>IF(A38="","",F38)</f>
        <v>350</v>
      </c>
      <c r="G234" s="7" t="n">
        <f>IF(A38="","",G38)</f>
        <v>0</v>
      </c>
    </row>
    <row r="235" ht="14" customHeight="true">
      <c r="A235" s="6" t="n">
        <f>IF(A39="","",A39)</f>
        <v>33</v>
      </c>
      <c r="B235" s="7" t="n">
        <f>IF(A39="","",B39)</f>
        <v>500</v>
      </c>
      <c r="C235" s="7" t="n">
        <f>IF(A39="","",C39)</f>
        <v>150</v>
      </c>
      <c r="D235" s="7" t="n">
        <f>IF(A39="","",D39)</f>
        <v>0</v>
      </c>
      <c r="E235" s="7" t="n">
        <f>IF(A39="","",E39)</f>
        <v>0</v>
      </c>
      <c r="F235" s="7" t="n">
        <f>IF(A39="","",F39)</f>
        <v>350</v>
      </c>
      <c r="G235" s="7" t="n">
        <f>IF(A39="","",G39)</f>
        <v>0</v>
      </c>
    </row>
    <row r="236" ht="14" customHeight="true">
      <c r="A236" s="6" t="n">
        <f>IF(A40="","",A40)</f>
        <v>34</v>
      </c>
      <c r="B236" s="7" t="n">
        <f>IF(A40="","",B40)</f>
        <v>500</v>
      </c>
      <c r="C236" s="7" t="n">
        <f>IF(A40="","",C40)</f>
        <v>150</v>
      </c>
      <c r="D236" s="7" t="n">
        <f>IF(A40="","",D40)</f>
        <v>0</v>
      </c>
      <c r="E236" s="7" t="n">
        <f>IF(A40="","",E40)</f>
        <v>0</v>
      </c>
      <c r="F236" s="7" t="n">
        <f>IF(A40="","",F40)</f>
        <v>350</v>
      </c>
      <c r="G236" s="7" t="n">
        <f>IF(A40="","",G40)</f>
        <v>0</v>
      </c>
    </row>
    <row r="237" ht="14" customHeight="true">
      <c r="A237" s="6" t="n">
        <f>IF(A41="","",A41)</f>
        <v>35</v>
      </c>
      <c r="B237" s="7" t="n">
        <f>IF(A41="","",B41)</f>
        <v>500</v>
      </c>
      <c r="C237" s="7" t="n">
        <f>IF(A41="","",C41)</f>
        <v>150</v>
      </c>
      <c r="D237" s="7" t="n">
        <f>IF(A41="","",D41)</f>
        <v>0</v>
      </c>
      <c r="E237" s="7" t="n">
        <f>IF(A41="","",E41)</f>
        <v>0</v>
      </c>
      <c r="F237" s="7" t="n">
        <f>IF(A41="","",F41)</f>
        <v>350</v>
      </c>
      <c r="G237" s="7" t="n">
        <f>IF(A41="","",G41)</f>
        <v>0</v>
      </c>
    </row>
    <row r="238" ht="14" customHeight="true">
      <c r="A238" s="6" t="n">
        <f>IF(A42="","",A42)</f>
        <v>36</v>
      </c>
      <c r="B238" s="7" t="n">
        <f>IF(A42="","",B42)</f>
        <v>500</v>
      </c>
      <c r="C238" s="7" t="n">
        <f>IF(A42="","",C42)</f>
        <v>150</v>
      </c>
      <c r="D238" s="7" t="n">
        <f>IF(A42="","",D42)</f>
        <v>0</v>
      </c>
      <c r="E238" s="7" t="n">
        <f>IF(A42="","",E42)</f>
        <v>0</v>
      </c>
      <c r="F238" s="7" t="n">
        <f>IF(A42="","",F42)</f>
        <v>350</v>
      </c>
      <c r="G238" s="7" t="n">
        <f>IF(A42="","",G42)</f>
        <v>0</v>
      </c>
    </row>
    <row r="239" ht="14" customHeight="true">
      <c r="A239" s="6" t="n">
        <f>IF(A43="","",A43)</f>
        <v>37</v>
      </c>
      <c r="B239" s="7" t="n">
        <f>IF(A43="","",B43)</f>
        <v>500</v>
      </c>
      <c r="C239" s="7" t="n">
        <f>IF(A43="","",C43)</f>
        <v>150</v>
      </c>
      <c r="D239" s="7" t="n">
        <f>IF(A43="","",D43)</f>
        <v>0</v>
      </c>
      <c r="E239" s="7" t="n">
        <f>IF(A43="","",E43)</f>
        <v>0</v>
      </c>
      <c r="F239" s="7" t="n">
        <f>IF(A43="","",F43)</f>
        <v>350</v>
      </c>
      <c r="G239" s="7" t="n">
        <f>IF(A43="","",G43)</f>
        <v>0</v>
      </c>
    </row>
    <row r="240" ht="14" customHeight="true">
      <c r="A240" s="6" t="n">
        <f>IF(A44="","",A44)</f>
        <v>38</v>
      </c>
      <c r="B240" s="7" t="n">
        <f>IF(A44="","",B44)</f>
        <v>500</v>
      </c>
      <c r="C240" s="7" t="n">
        <f>IF(A44="","",C44)</f>
        <v>150</v>
      </c>
      <c r="D240" s="7" t="n">
        <f>IF(A44="","",D44)</f>
        <v>0</v>
      </c>
      <c r="E240" s="7" t="n">
        <f>IF(A44="","",E44)</f>
        <v>0</v>
      </c>
      <c r="F240" s="7" t="n">
        <f>IF(A44="","",F44)</f>
        <v>350</v>
      </c>
      <c r="G240" s="7" t="n">
        <f>IF(A44="","",G44)</f>
        <v>0</v>
      </c>
    </row>
    <row r="241" ht="14" customHeight="true">
      <c r="A241" s="6" t="n">
        <f>IF(A45="","",A45)</f>
        <v>39</v>
      </c>
      <c r="B241" s="7" t="n">
        <f>IF(A45="","",B45)</f>
        <v>500</v>
      </c>
      <c r="C241" s="7" t="n">
        <f>IF(A45="","",C45)</f>
        <v>150</v>
      </c>
      <c r="D241" s="7" t="n">
        <f>IF(A45="","",D45)</f>
        <v>0</v>
      </c>
      <c r="E241" s="7" t="n">
        <f>IF(A45="","",E45)</f>
        <v>0</v>
      </c>
      <c r="F241" s="7" t="n">
        <f>IF(A45="","",F45)</f>
        <v>350</v>
      </c>
      <c r="G241" s="7" t="n">
        <f>IF(A45="","",G45)</f>
        <v>0</v>
      </c>
    </row>
    <row r="242" ht="14" customHeight="true">
      <c r="A242" s="6" t="n">
        <f>IF(A46="","",A46)</f>
        <v>40</v>
      </c>
      <c r="B242" s="7" t="n">
        <f>IF(A46="","",B46)</f>
        <v>500</v>
      </c>
      <c r="C242" s="7" t="n">
        <f>IF(A46="","",C46)</f>
        <v>150</v>
      </c>
      <c r="D242" s="7" t="n">
        <f>IF(A46="","",D46)</f>
        <v>0</v>
      </c>
      <c r="E242" s="7" t="n">
        <f>IF(A46="","",E46)</f>
        <v>0</v>
      </c>
      <c r="F242" s="7" t="n">
        <f>IF(A46="","",F46)</f>
        <v>350</v>
      </c>
      <c r="G242" s="7" t="n">
        <f>IF(A46="","",G46)</f>
        <v>0</v>
      </c>
    </row>
    <row r="243" ht="14" customHeight="true">
      <c r="A243" s="6" t="n">
        <f>IF(A47="","",A47)</f>
        <v>41</v>
      </c>
      <c r="B243" s="7" t="n">
        <f>IF(A47="","",B47)</f>
        <v>500</v>
      </c>
      <c r="C243" s="7" t="n">
        <f>IF(A47="","",C47)</f>
        <v>150</v>
      </c>
      <c r="D243" s="7" t="n">
        <f>IF(A47="","",D47)</f>
        <v>0</v>
      </c>
      <c r="E243" s="7" t="n">
        <f>IF(A47="","",E47)</f>
        <v>0</v>
      </c>
      <c r="F243" s="7" t="n">
        <f>IF(A47="","",F47)</f>
        <v>350</v>
      </c>
      <c r="G243" s="7" t="n">
        <f>IF(A47="","",G47)</f>
        <v>0</v>
      </c>
    </row>
    <row r="244" ht="14" customHeight="true">
      <c r="A244" s="6" t="n">
        <f>IF(A48="","",A48)</f>
        <v>42</v>
      </c>
      <c r="B244" s="7" t="n">
        <f>IF(A48="","",B48)</f>
        <v>500</v>
      </c>
      <c r="C244" s="7" t="n">
        <f>IF(A48="","",C48)</f>
        <v>150</v>
      </c>
      <c r="D244" s="7" t="n">
        <f>IF(A48="","",D48)</f>
        <v>0</v>
      </c>
      <c r="E244" s="7" t="n">
        <f>IF(A48="","",E48)</f>
        <v>0</v>
      </c>
      <c r="F244" s="7" t="n">
        <f>IF(A48="","",F48)</f>
        <v>350</v>
      </c>
      <c r="G244" s="7" t="n">
        <f>IF(A48="","",G48)</f>
        <v>0</v>
      </c>
    </row>
    <row r="245" ht="14" customHeight="true">
      <c r="A245" s="6" t="n">
        <f>IF(A49="","",A49)</f>
        <v>43</v>
      </c>
      <c r="B245" s="7" t="n">
        <f>IF(A49="","",B49)</f>
        <v>500</v>
      </c>
      <c r="C245" s="7" t="n">
        <f>IF(A49="","",C49)</f>
        <v>150</v>
      </c>
      <c r="D245" s="7" t="n">
        <f>IF(A49="","",D49)</f>
        <v>0</v>
      </c>
      <c r="E245" s="7" t="n">
        <f>IF(A49="","",E49)</f>
        <v>0</v>
      </c>
      <c r="F245" s="7" t="n">
        <f>IF(A49="","",F49)</f>
        <v>350</v>
      </c>
      <c r="G245" s="7" t="n">
        <f>IF(A49="","",G49)</f>
        <v>0</v>
      </c>
    </row>
    <row r="246" ht="14" customHeight="true">
      <c r="A246" s="6" t="n">
        <f>IF(A50="","",A50)</f>
        <v>44</v>
      </c>
      <c r="B246" s="7" t="n">
        <f>IF(A50="","",B50)</f>
        <v>500</v>
      </c>
      <c r="C246" s="7" t="n">
        <f>IF(A50="","",C50)</f>
        <v>150</v>
      </c>
      <c r="D246" s="7" t="n">
        <f>IF(A50="","",D50)</f>
        <v>0</v>
      </c>
      <c r="E246" s="7" t="n">
        <f>IF(A50="","",E50)</f>
        <v>0</v>
      </c>
      <c r="F246" s="7" t="n">
        <f>IF(A50="","",F50)</f>
        <v>350</v>
      </c>
      <c r="G246" s="7" t="n">
        <f>IF(A50="","",G50)</f>
        <v>0</v>
      </c>
    </row>
    <row r="247" ht="14" customHeight="true">
      <c r="A247" s="6" t="n">
        <f>IF(A51="","",A51)</f>
        <v>45</v>
      </c>
      <c r="B247" s="7" t="n">
        <f>IF(A51="","",B51)</f>
        <v>500</v>
      </c>
      <c r="C247" s="7" t="n">
        <f>IF(A51="","",C51)</f>
        <v>150</v>
      </c>
      <c r="D247" s="7" t="n">
        <f>IF(A51="","",D51)</f>
        <v>0</v>
      </c>
      <c r="E247" s="7" t="n">
        <f>IF(A51="","",E51)</f>
        <v>0</v>
      </c>
      <c r="F247" s="7" t="n">
        <f>IF(A51="","",F51)</f>
        <v>350</v>
      </c>
      <c r="G247" s="7" t="n">
        <f>IF(A51="","",G51)</f>
        <v>0</v>
      </c>
    </row>
    <row r="248" ht="14" customHeight="true">
      <c r="A248" s="6" t="n">
        <f>IF(A52="","",A52)</f>
        <v>46</v>
      </c>
      <c r="B248" s="7" t="n">
        <f>IF(A52="","",B52)</f>
        <v>500</v>
      </c>
      <c r="C248" s="7" t="n">
        <f>IF(A52="","",C52)</f>
        <v>150</v>
      </c>
      <c r="D248" s="7" t="n">
        <f>IF(A52="","",D52)</f>
        <v>0</v>
      </c>
      <c r="E248" s="7" t="n">
        <f>IF(A52="","",E52)</f>
        <v>0</v>
      </c>
      <c r="F248" s="7" t="n">
        <f>IF(A52="","",F52)</f>
        <v>350</v>
      </c>
      <c r="G248" s="7" t="n">
        <f>IF(A52="","",G52)</f>
        <v>0</v>
      </c>
    </row>
    <row r="249" ht="14" customHeight="true">
      <c r="A249" s="6" t="n">
        <f>IF(A53="","",A53)</f>
        <v>47</v>
      </c>
      <c r="B249" s="7" t="n">
        <f>IF(A53="","",B53)</f>
        <v>500</v>
      </c>
      <c r="C249" s="7" t="n">
        <f>IF(A53="","",C53)</f>
        <v>150</v>
      </c>
      <c r="D249" s="7" t="n">
        <f>IF(A53="","",D53)</f>
        <v>0</v>
      </c>
      <c r="E249" s="7" t="n">
        <f>IF(A53="","",E53)</f>
        <v>0</v>
      </c>
      <c r="F249" s="7" t="n">
        <f>IF(A53="","",F53)</f>
        <v>350</v>
      </c>
      <c r="G249" s="7" t="n">
        <f>IF(A53="","",G53)</f>
        <v>0</v>
      </c>
    </row>
    <row r="250" ht="14" customHeight="true">
      <c r="A250" s="6" t="n">
        <f>IF(A54="","",A54)</f>
        <v>48</v>
      </c>
      <c r="B250" s="7" t="n">
        <f>IF(A54="","",B54)</f>
        <v>500</v>
      </c>
      <c r="C250" s="7" t="n">
        <f>IF(A54="","",C54)</f>
        <v>150</v>
      </c>
      <c r="D250" s="7" t="n">
        <f>IF(A54="","",D54)</f>
        <v>0</v>
      </c>
      <c r="E250" s="7" t="n">
        <f>IF(A54="","",E54)</f>
        <v>0</v>
      </c>
      <c r="F250" s="7" t="n">
        <f>IF(A54="","",F54)</f>
        <v>350</v>
      </c>
      <c r="G250" s="7" t="n">
        <f>IF(A54="","",G54)</f>
        <v>0</v>
      </c>
    </row>
    <row r="251" ht="14" customHeight="true">
      <c r="A251" s="6" t="str">
        <f>IF(A55="","",A55)</f>
        <v/>
      </c>
      <c r="B251" s="7" t="str">
        <f>IF(A55="","",B55)</f>
        <v/>
      </c>
      <c r="C251" s="7" t="str">
        <f>IF(A55="","",C55)</f>
        <v/>
      </c>
      <c r="D251" s="7" t="str">
        <f>IF(A55="","",D55)</f>
        <v/>
      </c>
      <c r="E251" s="7" t="str">
        <f>IF(A55="","",E55)</f>
        <v/>
      </c>
      <c r="F251" s="7" t="str">
        <f>IF(A55="","",F55)</f>
        <v/>
      </c>
      <c r="G251" s="7" t="str">
        <f>IF(A55="","",G55)</f>
        <v/>
      </c>
    </row>
    <row r="252" ht="14" customHeight="true">
      <c r="A252" s="6" t="str">
        <f>IF(A56="","",A56)</f>
        <v/>
      </c>
      <c r="B252" s="7" t="str">
        <f>IF(A56="","",B56)</f>
        <v/>
      </c>
      <c r="C252" s="7" t="str">
        <f>IF(A56="","",C56)</f>
        <v/>
      </c>
      <c r="D252" s="7" t="str">
        <f>IF(A56="","",D56)</f>
        <v/>
      </c>
      <c r="E252" s="7" t="str">
        <f>IF(A56="","",E56)</f>
        <v/>
      </c>
      <c r="F252" s="7" t="str">
        <f>IF(A56="","",F56)</f>
        <v/>
      </c>
      <c r="G252" s="7" t="str">
        <f>IF(A56="","",G56)</f>
        <v/>
      </c>
    </row>
    <row r="253" ht="14" customHeight="true">
      <c r="A253" s="6" t="str">
        <f>IF(A57="","",A57)</f>
        <v/>
      </c>
      <c r="B253" s="7" t="str">
        <f>IF(A57="","",B57)</f>
        <v/>
      </c>
      <c r="C253" s="7" t="str">
        <f>IF(A57="","",C57)</f>
        <v/>
      </c>
      <c r="D253" s="7" t="str">
        <f>IF(A57="","",D57)</f>
        <v/>
      </c>
      <c r="E253" s="7" t="str">
        <f>IF(A57="","",E57)</f>
        <v/>
      </c>
      <c r="F253" s="7" t="str">
        <f>IF(A57="","",F57)</f>
        <v/>
      </c>
      <c r="G253" s="7" t="str">
        <f>IF(A57="","",G57)</f>
        <v/>
      </c>
    </row>
    <row r="254" ht="14" customHeight="true">
      <c r="A254" s="6" t="str">
        <f>IF(A58="","",A58)</f>
        <v/>
      </c>
      <c r="B254" s="7" t="str">
        <f>IF(A58="","",B58)</f>
        <v/>
      </c>
      <c r="C254" s="7" t="str">
        <f>IF(A58="","",C58)</f>
        <v/>
      </c>
      <c r="D254" s="7" t="str">
        <f>IF(A58="","",D58)</f>
        <v/>
      </c>
      <c r="E254" s="7" t="str">
        <f>IF(A58="","",E58)</f>
        <v/>
      </c>
      <c r="F254" s="7" t="str">
        <f>IF(A58="","",F58)</f>
        <v/>
      </c>
      <c r="G254" s="7" t="str">
        <f>IF(A58="","",G58)</f>
        <v/>
      </c>
    </row>
    <row r="255" ht="14" customHeight="true">
      <c r="A255" s="6" t="str">
        <f>IF(A59="","",A59)</f>
        <v/>
      </c>
      <c r="B255" s="7" t="str">
        <f>IF(A59="","",B59)</f>
        <v/>
      </c>
      <c r="C255" s="7" t="str">
        <f>IF(A59="","",C59)</f>
        <v/>
      </c>
      <c r="D255" s="7" t="str">
        <f>IF(A59="","",D59)</f>
        <v/>
      </c>
      <c r="E255" s="7" t="str">
        <f>IF(A59="","",E59)</f>
        <v/>
      </c>
      <c r="F255" s="7" t="str">
        <f>IF(A59="","",F59)</f>
        <v/>
      </c>
      <c r="G255" s="7" t="str">
        <f>IF(A59="","",G59)</f>
        <v/>
      </c>
    </row>
    <row r="256" ht="14" customHeight="true">
      <c r="A256" s="6" t="str">
        <f>IF(A60="","",A60)</f>
        <v/>
      </c>
      <c r="B256" s="7" t="str">
        <f>IF(A60="","",B60)</f>
        <v/>
      </c>
      <c r="C256" s="7" t="str">
        <f>IF(A60="","",C60)</f>
        <v/>
      </c>
      <c r="D256" s="7" t="str">
        <f>IF(A60="","",D60)</f>
        <v/>
      </c>
      <c r="E256" s="7" t="str">
        <f>IF(A60="","",E60)</f>
        <v/>
      </c>
      <c r="F256" s="7" t="str">
        <f>IF(A60="","",F60)</f>
        <v/>
      </c>
      <c r="G256" s="7" t="str">
        <f>IF(A60="","",G60)</f>
        <v/>
      </c>
    </row>
    <row r="257" ht="14" customHeight="true">
      <c r="A257" s="6" t="str">
        <f>IF(A61="","",A61)</f>
        <v/>
      </c>
      <c r="B257" s="7" t="str">
        <f>IF(A61="","",B61)</f>
        <v/>
      </c>
      <c r="C257" s="7" t="str">
        <f>IF(A61="","",C61)</f>
        <v/>
      </c>
      <c r="D257" s="7" t="str">
        <f>IF(A61="","",D61)</f>
        <v/>
      </c>
      <c r="E257" s="7" t="str">
        <f>IF(A61="","",E61)</f>
        <v/>
      </c>
      <c r="F257" s="7" t="str">
        <f>IF(A61="","",F61)</f>
        <v/>
      </c>
      <c r="G257" s="7" t="str">
        <f>IF(A61="","",G61)</f>
        <v/>
      </c>
    </row>
    <row r="258" ht="14" customHeight="true">
      <c r="A258" s="6" t="str">
        <f>IF(A62="","",A62)</f>
        <v/>
      </c>
      <c r="B258" s="7" t="str">
        <f>IF(A62="","",B62)</f>
        <v/>
      </c>
      <c r="C258" s="7" t="str">
        <f>IF(A62="","",C62)</f>
        <v/>
      </c>
      <c r="D258" s="7" t="str">
        <f>IF(A62="","",D62)</f>
        <v/>
      </c>
      <c r="E258" s="7" t="str">
        <f>IF(A62="","",E62)</f>
        <v/>
      </c>
      <c r="F258" s="7" t="str">
        <f>IF(A62="","",F62)</f>
        <v/>
      </c>
      <c r="G258" s="7" t="str">
        <f>IF(A62="","",G62)</f>
        <v/>
      </c>
    </row>
    <row r="259" ht="14" customHeight="true">
      <c r="A259" s="6" t="str">
        <f>IF(A63="","",A63)</f>
        <v/>
      </c>
      <c r="B259" s="7" t="str">
        <f>IF(A63="","",B63)</f>
        <v/>
      </c>
      <c r="C259" s="7" t="str">
        <f>IF(A63="","",C63)</f>
        <v/>
      </c>
      <c r="D259" s="7" t="str">
        <f>IF(A63="","",D63)</f>
        <v/>
      </c>
      <c r="E259" s="7" t="str">
        <f>IF(A63="","",E63)</f>
        <v/>
      </c>
      <c r="F259" s="7" t="str">
        <f>IF(A63="","",F63)</f>
        <v/>
      </c>
      <c r="G259" s="7" t="str">
        <f>IF(A63="","",G63)</f>
        <v/>
      </c>
    </row>
    <row r="260" ht="14" customHeight="true">
      <c r="A260" s="6" t="str">
        <f>IF(A64="","",A64)</f>
        <v/>
      </c>
      <c r="B260" s="7" t="str">
        <f>IF(A64="","",B64)</f>
        <v/>
      </c>
      <c r="C260" s="7" t="str">
        <f>IF(A64="","",C64)</f>
        <v/>
      </c>
      <c r="D260" s="7" t="str">
        <f>IF(A64="","",D64)</f>
        <v/>
      </c>
      <c r="E260" s="7" t="str">
        <f>IF(A64="","",E64)</f>
        <v/>
      </c>
      <c r="F260" s="7" t="str">
        <f>IF(A64="","",F64)</f>
        <v/>
      </c>
      <c r="G260" s="7" t="str">
        <f>IF(A64="","",G64)</f>
        <v/>
      </c>
    </row>
    <row r="261" ht="14" customHeight="true">
      <c r="A261" s="6" t="str">
        <f>IF(A65="","",A65)</f>
        <v/>
      </c>
      <c r="B261" s="7" t="str">
        <f>IF(A65="","",B65)</f>
        <v/>
      </c>
      <c r="C261" s="7" t="str">
        <f>IF(A65="","",C65)</f>
        <v/>
      </c>
      <c r="D261" s="7" t="str">
        <f>IF(A65="","",D65)</f>
        <v/>
      </c>
      <c r="E261" s="7" t="str">
        <f>IF(A65="","",E65)</f>
        <v/>
      </c>
      <c r="F261" s="7" t="str">
        <f>IF(A65="","",F65)</f>
        <v/>
      </c>
      <c r="G261" s="7" t="str">
        <f>IF(A65="","",G65)</f>
        <v/>
      </c>
    </row>
    <row r="262" ht="14" customHeight="true">
      <c r="A262" s="6" t="str">
        <f>IF(A66="","",A66)</f>
        <v/>
      </c>
      <c r="B262" s="7" t="str">
        <f>IF(A66="","",B66)</f>
        <v/>
      </c>
      <c r="C262" s="7" t="str">
        <f>IF(A66="","",C66)</f>
        <v/>
      </c>
      <c r="D262" s="7" t="str">
        <f>IF(A66="","",D66)</f>
        <v/>
      </c>
      <c r="E262" s="7" t="str">
        <f>IF(A66="","",E66)</f>
        <v/>
      </c>
      <c r="F262" s="7" t="str">
        <f>IF(A66="","",F66)</f>
        <v/>
      </c>
      <c r="G262" s="7" t="str">
        <f>IF(A66="","",G66)</f>
        <v/>
      </c>
    </row>
    <row r="270" ht="24" customHeight="true">
      <c r="A270" s="1" t="str">
        <f>"Druckbereich · Zuordnungen B · Teil 2/2"</f>
        <v>Druckbereich · Zuordnungen B · Teil 2/2</v>
      </c>
    </row>
    <row r="271" ht="36" customHeight="true">
      <c r="A271" s="2" t="str">
        <f>"Mein Plan: "&amp;Ziele!$B$5&amp;IF(Ziele!$B$5=1," Monat. "," Monate. ")&amp;"Ziele 4–6, freier Rest und Kontrolle. Die Kontrollspalte muss 0,00 € ergeben. Alle Beträge in Euro."</f>
        <v>Mein Plan: 48 Monate. Ziele 4–6, freier Rest und Kontrolle. Die Kontrollspalte muss 0,00 € ergeben. Alle Beträge in Euro.</v>
      </c>
    </row>
    <row r="272" ht="33.75" customHeight="true">
      <c r="A272" s="3" t="str">
        <f>A6</f>
        <v>Monat</v>
      </c>
      <c r="B272" s="3" t="str">
        <f>H6</f>
        <v>Ziel 4</v>
      </c>
      <c r="C272" s="3" t="str">
        <f>I6</f>
        <v>Ziel 5</v>
      </c>
      <c r="D272" s="3" t="str">
        <f>J6</f>
        <v>Ziel 6</v>
      </c>
      <c r="E272" s="3" t="str">
        <f>K6</f>
        <v>Frei für später</v>
      </c>
      <c r="F272" s="3" t="str">
        <f>L6</f>
        <v>Kontrolle</v>
      </c>
    </row>
    <row r="273" ht="14" customHeight="true">
      <c r="A273" s="6" t="n">
        <f>IF(A7="","",A7)</f>
        <v>1</v>
      </c>
      <c r="B273" s="7" t="n">
        <f>IF(A7="","",H7)</f>
        <v>0</v>
      </c>
      <c r="C273" s="7" t="n">
        <f>IF(A7="","",I7)</f>
        <v>0</v>
      </c>
      <c r="D273" s="7" t="n">
        <f>IF(A7="","",J7)</f>
        <v>0</v>
      </c>
      <c r="E273" s="7" t="n">
        <f>IF(A7="","",K7)</f>
        <v>0</v>
      </c>
      <c r="F273" s="7" t="n">
        <f>IF(A7="","",L7)</f>
        <v>0</v>
      </c>
    </row>
    <row r="274" ht="14" customHeight="true">
      <c r="A274" s="6" t="n">
        <f>IF(A8="","",A8)</f>
        <v>2</v>
      </c>
      <c r="B274" s="7" t="n">
        <f>IF(A8="","",H8)</f>
        <v>0</v>
      </c>
      <c r="C274" s="7" t="n">
        <f>IF(A8="","",I8)</f>
        <v>0</v>
      </c>
      <c r="D274" s="7" t="n">
        <f>IF(A8="","",J8)</f>
        <v>0</v>
      </c>
      <c r="E274" s="7" t="n">
        <f>IF(A8="","",K8)</f>
        <v>0</v>
      </c>
      <c r="F274" s="7" t="n">
        <f>IF(A8="","",L8)</f>
        <v>0</v>
      </c>
    </row>
    <row r="275" ht="14" customHeight="true">
      <c r="A275" s="6" t="n">
        <f>IF(A9="","",A9)</f>
        <v>3</v>
      </c>
      <c r="B275" s="7" t="n">
        <f>IF(A9="","",H9)</f>
        <v>0</v>
      </c>
      <c r="C275" s="7" t="n">
        <f>IF(A9="","",I9)</f>
        <v>0</v>
      </c>
      <c r="D275" s="7" t="n">
        <f>IF(A9="","",J9)</f>
        <v>0</v>
      </c>
      <c r="E275" s="7" t="n">
        <f>IF(A9="","",K9)</f>
        <v>0</v>
      </c>
      <c r="F275" s="7" t="n">
        <f>IF(A9="","",L9)</f>
        <v>0</v>
      </c>
    </row>
    <row r="276" ht="14" customHeight="true">
      <c r="A276" s="6" t="n">
        <f>IF(A10="","",A10)</f>
        <v>4</v>
      </c>
      <c r="B276" s="7" t="n">
        <f>IF(A10="","",H10)</f>
        <v>0</v>
      </c>
      <c r="C276" s="7" t="n">
        <f>IF(A10="","",I10)</f>
        <v>0</v>
      </c>
      <c r="D276" s="7" t="n">
        <f>IF(A10="","",J10)</f>
        <v>0</v>
      </c>
      <c r="E276" s="7" t="n">
        <f>IF(A10="","",K10)</f>
        <v>0</v>
      </c>
      <c r="F276" s="7" t="n">
        <f>IF(A10="","",L10)</f>
        <v>0</v>
      </c>
    </row>
    <row r="277" ht="14" customHeight="true">
      <c r="A277" s="6" t="n">
        <f>IF(A11="","",A11)</f>
        <v>5</v>
      </c>
      <c r="B277" s="7" t="n">
        <f>IF(A11="","",H11)</f>
        <v>0</v>
      </c>
      <c r="C277" s="7" t="n">
        <f>IF(A11="","",I11)</f>
        <v>0</v>
      </c>
      <c r="D277" s="7" t="n">
        <f>IF(A11="","",J11)</f>
        <v>0</v>
      </c>
      <c r="E277" s="7" t="n">
        <f>IF(A11="","",K11)</f>
        <v>0</v>
      </c>
      <c r="F277" s="7" t="n">
        <f>IF(A11="","",L11)</f>
        <v>0</v>
      </c>
    </row>
    <row r="278" ht="14" customHeight="true">
      <c r="A278" s="6" t="n">
        <f>IF(A12="","",A12)</f>
        <v>6</v>
      </c>
      <c r="B278" s="7" t="n">
        <f>IF(A12="","",H12)</f>
        <v>0</v>
      </c>
      <c r="C278" s="7" t="n">
        <f>IF(A12="","",I12)</f>
        <v>0</v>
      </c>
      <c r="D278" s="7" t="n">
        <f>IF(A12="","",J12)</f>
        <v>0</v>
      </c>
      <c r="E278" s="7" t="n">
        <f>IF(A12="","",K12)</f>
        <v>0</v>
      </c>
      <c r="F278" s="7" t="n">
        <f>IF(A12="","",L12)</f>
        <v>0</v>
      </c>
    </row>
    <row r="279" ht="14" customHeight="true">
      <c r="A279" s="6" t="n">
        <f>IF(A13="","",A13)</f>
        <v>7</v>
      </c>
      <c r="B279" s="7" t="n">
        <f>IF(A13="","",H13)</f>
        <v>0</v>
      </c>
      <c r="C279" s="7" t="n">
        <f>IF(A13="","",I13)</f>
        <v>0</v>
      </c>
      <c r="D279" s="7" t="n">
        <f>IF(A13="","",J13)</f>
        <v>0</v>
      </c>
      <c r="E279" s="7" t="n">
        <f>IF(A13="","",K13)</f>
        <v>0</v>
      </c>
      <c r="F279" s="7" t="n">
        <f>IF(A13="","",L13)</f>
        <v>0</v>
      </c>
    </row>
    <row r="280" ht="14" customHeight="true">
      <c r="A280" s="6" t="n">
        <f>IF(A14="","",A14)</f>
        <v>8</v>
      </c>
      <c r="B280" s="7" t="n">
        <f>IF(A14="","",H14)</f>
        <v>0</v>
      </c>
      <c r="C280" s="7" t="n">
        <f>IF(A14="","",I14)</f>
        <v>0</v>
      </c>
      <c r="D280" s="7" t="n">
        <f>IF(A14="","",J14)</f>
        <v>0</v>
      </c>
      <c r="E280" s="7" t="n">
        <f>IF(A14="","",K14)</f>
        <v>0</v>
      </c>
      <c r="F280" s="7" t="n">
        <f>IF(A14="","",L14)</f>
        <v>0</v>
      </c>
    </row>
    <row r="281" ht="14" customHeight="true">
      <c r="A281" s="6" t="n">
        <f>IF(A15="","",A15)</f>
        <v>9</v>
      </c>
      <c r="B281" s="7" t="n">
        <f>IF(A15="","",H15)</f>
        <v>0</v>
      </c>
      <c r="C281" s="7" t="n">
        <f>IF(A15="","",I15)</f>
        <v>0</v>
      </c>
      <c r="D281" s="7" t="n">
        <f>IF(A15="","",J15)</f>
        <v>0</v>
      </c>
      <c r="E281" s="7" t="n">
        <f>IF(A15="","",K15)</f>
        <v>0</v>
      </c>
      <c r="F281" s="7" t="n">
        <f>IF(A15="","",L15)</f>
        <v>0</v>
      </c>
    </row>
    <row r="282" ht="14" customHeight="true">
      <c r="A282" s="6" t="n">
        <f>IF(A16="","",A16)</f>
        <v>10</v>
      </c>
      <c r="B282" s="7" t="n">
        <f>IF(A16="","",H16)</f>
        <v>0</v>
      </c>
      <c r="C282" s="7" t="n">
        <f>IF(A16="","",I16)</f>
        <v>0</v>
      </c>
      <c r="D282" s="7" t="n">
        <f>IF(A16="","",J16)</f>
        <v>0</v>
      </c>
      <c r="E282" s="7" t="n">
        <f>IF(A16="","",K16)</f>
        <v>0</v>
      </c>
      <c r="F282" s="7" t="n">
        <f>IF(A16="","",L16)</f>
        <v>0</v>
      </c>
    </row>
    <row r="283" ht="14" customHeight="true">
      <c r="A283" s="6" t="n">
        <f>IF(A17="","",A17)</f>
        <v>11</v>
      </c>
      <c r="B283" s="7" t="n">
        <f>IF(A17="","",H17)</f>
        <v>0</v>
      </c>
      <c r="C283" s="7" t="n">
        <f>IF(A17="","",I17)</f>
        <v>0</v>
      </c>
      <c r="D283" s="7" t="n">
        <f>IF(A17="","",J17)</f>
        <v>0</v>
      </c>
      <c r="E283" s="7" t="n">
        <f>IF(A17="","",K17)</f>
        <v>0</v>
      </c>
      <c r="F283" s="7" t="n">
        <f>IF(A17="","",L17)</f>
        <v>0</v>
      </c>
    </row>
    <row r="284" ht="14" customHeight="true">
      <c r="A284" s="6" t="n">
        <f>IF(A18="","",A18)</f>
        <v>12</v>
      </c>
      <c r="B284" s="7" t="n">
        <f>IF(A18="","",H18)</f>
        <v>0</v>
      </c>
      <c r="C284" s="7" t="n">
        <f>IF(A18="","",I18)</f>
        <v>0</v>
      </c>
      <c r="D284" s="7" t="n">
        <f>IF(A18="","",J18)</f>
        <v>0</v>
      </c>
      <c r="E284" s="7" t="n">
        <f>IF(A18="","",K18)</f>
        <v>0</v>
      </c>
      <c r="F284" s="7" t="n">
        <f>IF(A18="","",L18)</f>
        <v>0</v>
      </c>
    </row>
    <row r="285" ht="14" customHeight="true">
      <c r="A285" s="6" t="n">
        <f>IF(A19="","",A19)</f>
        <v>13</v>
      </c>
      <c r="B285" s="7" t="n">
        <f>IF(A19="","",H19)</f>
        <v>0</v>
      </c>
      <c r="C285" s="7" t="n">
        <f>IF(A19="","",I19)</f>
        <v>0</v>
      </c>
      <c r="D285" s="7" t="n">
        <f>IF(A19="","",J19)</f>
        <v>0</v>
      </c>
      <c r="E285" s="7" t="n">
        <f>IF(A19="","",K19)</f>
        <v>0</v>
      </c>
      <c r="F285" s="7" t="n">
        <f>IF(A19="","",L19)</f>
        <v>0</v>
      </c>
    </row>
    <row r="286" ht="14" customHeight="true">
      <c r="A286" s="6" t="n">
        <f>IF(A20="","",A20)</f>
        <v>14</v>
      </c>
      <c r="B286" s="7" t="n">
        <f>IF(A20="","",H20)</f>
        <v>0</v>
      </c>
      <c r="C286" s="7" t="n">
        <f>IF(A20="","",I20)</f>
        <v>0</v>
      </c>
      <c r="D286" s="7" t="n">
        <f>IF(A20="","",J20)</f>
        <v>0</v>
      </c>
      <c r="E286" s="7" t="n">
        <f>IF(A20="","",K20)</f>
        <v>0</v>
      </c>
      <c r="F286" s="7" t="n">
        <f>IF(A20="","",L20)</f>
        <v>0</v>
      </c>
    </row>
    <row r="287" ht="14" customHeight="true">
      <c r="A287" s="6" t="n">
        <f>IF(A21="","",A21)</f>
        <v>15</v>
      </c>
      <c r="B287" s="7" t="n">
        <f>IF(A21="","",H21)</f>
        <v>0</v>
      </c>
      <c r="C287" s="7" t="n">
        <f>IF(A21="","",I21)</f>
        <v>0</v>
      </c>
      <c r="D287" s="7" t="n">
        <f>IF(A21="","",J21)</f>
        <v>0</v>
      </c>
      <c r="E287" s="7" t="n">
        <f>IF(A21="","",K21)</f>
        <v>0</v>
      </c>
      <c r="F287" s="7" t="n">
        <f>IF(A21="","",L21)</f>
        <v>0</v>
      </c>
    </row>
    <row r="288" ht="14" customHeight="true">
      <c r="A288" s="6" t="n">
        <f>IF(A22="","",A22)</f>
        <v>16</v>
      </c>
      <c r="B288" s="7" t="n">
        <f>IF(A22="","",H22)</f>
        <v>0</v>
      </c>
      <c r="C288" s="7" t="n">
        <f>IF(A22="","",I22)</f>
        <v>0</v>
      </c>
      <c r="D288" s="7" t="n">
        <f>IF(A22="","",J22)</f>
        <v>0</v>
      </c>
      <c r="E288" s="7" t="n">
        <f>IF(A22="","",K22)</f>
        <v>0</v>
      </c>
      <c r="F288" s="7" t="n">
        <f>IF(A22="","",L22)</f>
        <v>0</v>
      </c>
    </row>
    <row r="289" ht="14" customHeight="true">
      <c r="A289" s="6" t="n">
        <f>IF(A23="","",A23)</f>
        <v>17</v>
      </c>
      <c r="B289" s="7" t="n">
        <f>IF(A23="","",H23)</f>
        <v>0</v>
      </c>
      <c r="C289" s="7" t="n">
        <f>IF(A23="","",I23)</f>
        <v>0</v>
      </c>
      <c r="D289" s="7" t="n">
        <f>IF(A23="","",J23)</f>
        <v>0</v>
      </c>
      <c r="E289" s="7" t="n">
        <f>IF(A23="","",K23)</f>
        <v>0</v>
      </c>
      <c r="F289" s="7" t="n">
        <f>IF(A23="","",L23)</f>
        <v>0</v>
      </c>
    </row>
    <row r="290" ht="14" customHeight="true">
      <c r="A290" s="6" t="n">
        <f>IF(A24="","",A24)</f>
        <v>18</v>
      </c>
      <c r="B290" s="7" t="n">
        <f>IF(A24="","",H24)</f>
        <v>0</v>
      </c>
      <c r="C290" s="7" t="n">
        <f>IF(A24="","",I24)</f>
        <v>0</v>
      </c>
      <c r="D290" s="7" t="n">
        <f>IF(A24="","",J24)</f>
        <v>0</v>
      </c>
      <c r="E290" s="7" t="n">
        <f>IF(A24="","",K24)</f>
        <v>0</v>
      </c>
      <c r="F290" s="7" t="n">
        <f>IF(A24="","",L24)</f>
        <v>0</v>
      </c>
    </row>
    <row r="291" ht="14" customHeight="true">
      <c r="A291" s="6" t="n">
        <f>IF(A25="","",A25)</f>
        <v>19</v>
      </c>
      <c r="B291" s="7" t="n">
        <f>IF(A25="","",H25)</f>
        <v>0</v>
      </c>
      <c r="C291" s="7" t="n">
        <f>IF(A25="","",I25)</f>
        <v>0</v>
      </c>
      <c r="D291" s="7" t="n">
        <f>IF(A25="","",J25)</f>
        <v>0</v>
      </c>
      <c r="E291" s="7" t="n">
        <f>IF(A25="","",K25)</f>
        <v>0</v>
      </c>
      <c r="F291" s="7" t="n">
        <f>IF(A25="","",L25)</f>
        <v>0</v>
      </c>
    </row>
    <row r="292" ht="14" customHeight="true">
      <c r="A292" s="6" t="n">
        <f>IF(A26="","",A26)</f>
        <v>20</v>
      </c>
      <c r="B292" s="7" t="n">
        <f>IF(A26="","",H26)</f>
        <v>0</v>
      </c>
      <c r="C292" s="7" t="n">
        <f>IF(A26="","",I26)</f>
        <v>0</v>
      </c>
      <c r="D292" s="7" t="n">
        <f>IF(A26="","",J26)</f>
        <v>0</v>
      </c>
      <c r="E292" s="7" t="n">
        <f>IF(A26="","",K26)</f>
        <v>0</v>
      </c>
      <c r="F292" s="7" t="n">
        <f>IF(A26="","",L26)</f>
        <v>0</v>
      </c>
    </row>
    <row r="293" ht="14" customHeight="true">
      <c r="A293" s="6" t="n">
        <f>IF(A27="","",A27)</f>
        <v>21</v>
      </c>
      <c r="B293" s="7" t="n">
        <f>IF(A27="","",H27)</f>
        <v>0</v>
      </c>
      <c r="C293" s="7" t="n">
        <f>IF(A27="","",I27)</f>
        <v>0</v>
      </c>
      <c r="D293" s="7" t="n">
        <f>IF(A27="","",J27)</f>
        <v>0</v>
      </c>
      <c r="E293" s="7" t="n">
        <f>IF(A27="","",K27)</f>
        <v>0</v>
      </c>
      <c r="F293" s="7" t="n">
        <f>IF(A27="","",L27)</f>
        <v>0</v>
      </c>
    </row>
    <row r="294" ht="14" customHeight="true">
      <c r="A294" s="6" t="n">
        <f>IF(A28="","",A28)</f>
        <v>22</v>
      </c>
      <c r="B294" s="7" t="n">
        <f>IF(A28="","",H28)</f>
        <v>0</v>
      </c>
      <c r="C294" s="7" t="n">
        <f>IF(A28="","",I28)</f>
        <v>0</v>
      </c>
      <c r="D294" s="7" t="n">
        <f>IF(A28="","",J28)</f>
        <v>0</v>
      </c>
      <c r="E294" s="7" t="n">
        <f>IF(A28="","",K28)</f>
        <v>0</v>
      </c>
      <c r="F294" s="7" t="n">
        <f>IF(A28="","",L28)</f>
        <v>0</v>
      </c>
    </row>
    <row r="295" ht="14" customHeight="true">
      <c r="A295" s="6" t="n">
        <f>IF(A29="","",A29)</f>
        <v>23</v>
      </c>
      <c r="B295" s="7" t="n">
        <f>IF(A29="","",H29)</f>
        <v>0</v>
      </c>
      <c r="C295" s="7" t="n">
        <f>IF(A29="","",I29)</f>
        <v>0</v>
      </c>
      <c r="D295" s="7" t="n">
        <f>IF(A29="","",J29)</f>
        <v>0</v>
      </c>
      <c r="E295" s="7" t="n">
        <f>IF(A29="","",K29)</f>
        <v>0</v>
      </c>
      <c r="F295" s="7" t="n">
        <f>IF(A29="","",L29)</f>
        <v>0</v>
      </c>
    </row>
    <row r="296" ht="14" customHeight="true">
      <c r="A296" s="6" t="n">
        <f>IF(A30="","",A30)</f>
        <v>24</v>
      </c>
      <c r="B296" s="7" t="n">
        <f>IF(A30="","",H30)</f>
        <v>0</v>
      </c>
      <c r="C296" s="7" t="n">
        <f>IF(A30="","",I30)</f>
        <v>0</v>
      </c>
      <c r="D296" s="7" t="n">
        <f>IF(A30="","",J30)</f>
        <v>0</v>
      </c>
      <c r="E296" s="7" t="n">
        <f>IF(A30="","",K30)</f>
        <v>0</v>
      </c>
      <c r="F296" s="7" t="n">
        <f>IF(A30="","",L30)</f>
        <v>0</v>
      </c>
    </row>
    <row r="297" ht="14" customHeight="true">
      <c r="A297" s="6" t="n">
        <f>IF(A31="","",A31)</f>
        <v>25</v>
      </c>
      <c r="B297" s="7" t="n">
        <f>IF(A31="","",H31)</f>
        <v>0</v>
      </c>
      <c r="C297" s="7" t="n">
        <f>IF(A31="","",I31)</f>
        <v>0</v>
      </c>
      <c r="D297" s="7" t="n">
        <f>IF(A31="","",J31)</f>
        <v>0</v>
      </c>
      <c r="E297" s="7" t="n">
        <f>IF(A31="","",K31)</f>
        <v>0</v>
      </c>
      <c r="F297" s="7" t="n">
        <f>IF(A31="","",L31)</f>
        <v>0</v>
      </c>
    </row>
    <row r="298" ht="14" customHeight="true">
      <c r="A298" s="6" t="n">
        <f>IF(A32="","",A32)</f>
        <v>26</v>
      </c>
      <c r="B298" s="7" t="n">
        <f>IF(A32="","",H32)</f>
        <v>0</v>
      </c>
      <c r="C298" s="7" t="n">
        <f>IF(A32="","",I32)</f>
        <v>0</v>
      </c>
      <c r="D298" s="7" t="n">
        <f>IF(A32="","",J32)</f>
        <v>0</v>
      </c>
      <c r="E298" s="7" t="n">
        <f>IF(A32="","",K32)</f>
        <v>0</v>
      </c>
      <c r="F298" s="7" t="n">
        <f>IF(A32="","",L32)</f>
        <v>0</v>
      </c>
    </row>
    <row r="299" ht="14" customHeight="true">
      <c r="A299" s="6" t="n">
        <f>IF(A33="","",A33)</f>
        <v>27</v>
      </c>
      <c r="B299" s="7" t="n">
        <f>IF(A33="","",H33)</f>
        <v>0</v>
      </c>
      <c r="C299" s="7" t="n">
        <f>IF(A33="","",I33)</f>
        <v>0</v>
      </c>
      <c r="D299" s="7" t="n">
        <f>IF(A33="","",J33)</f>
        <v>0</v>
      </c>
      <c r="E299" s="7" t="n">
        <f>IF(A33="","",K33)</f>
        <v>0</v>
      </c>
      <c r="F299" s="7" t="n">
        <f>IF(A33="","",L33)</f>
        <v>0</v>
      </c>
    </row>
    <row r="300" ht="14" customHeight="true">
      <c r="A300" s="6" t="n">
        <f>IF(A34="","",A34)</f>
        <v>28</v>
      </c>
      <c r="B300" s="7" t="n">
        <f>IF(A34="","",H34)</f>
        <v>0</v>
      </c>
      <c r="C300" s="7" t="n">
        <f>IF(A34="","",I34)</f>
        <v>0</v>
      </c>
      <c r="D300" s="7" t="n">
        <f>IF(A34="","",J34)</f>
        <v>0</v>
      </c>
      <c r="E300" s="7" t="n">
        <f>IF(A34="","",K34)</f>
        <v>0</v>
      </c>
      <c r="F300" s="7" t="n">
        <f>IF(A34="","",L34)</f>
        <v>0</v>
      </c>
    </row>
    <row r="301" ht="14" customHeight="true">
      <c r="A301" s="6" t="n">
        <f>IF(A35="","",A35)</f>
        <v>29</v>
      </c>
      <c r="B301" s="7" t="n">
        <f>IF(A35="","",H35)</f>
        <v>0</v>
      </c>
      <c r="C301" s="7" t="n">
        <f>IF(A35="","",I35)</f>
        <v>0</v>
      </c>
      <c r="D301" s="7" t="n">
        <f>IF(A35="","",J35)</f>
        <v>0</v>
      </c>
      <c r="E301" s="7" t="n">
        <f>IF(A35="","",K35)</f>
        <v>0</v>
      </c>
      <c r="F301" s="7" t="n">
        <f>IF(A35="","",L35)</f>
        <v>0</v>
      </c>
    </row>
    <row r="302" ht="14" customHeight="true">
      <c r="A302" s="6" t="n">
        <f>IF(A36="","",A36)</f>
        <v>30</v>
      </c>
      <c r="B302" s="7" t="n">
        <f>IF(A36="","",H36)</f>
        <v>0</v>
      </c>
      <c r="C302" s="7" t="n">
        <f>IF(A36="","",I36)</f>
        <v>0</v>
      </c>
      <c r="D302" s="7" t="n">
        <f>IF(A36="","",J36)</f>
        <v>0</v>
      </c>
      <c r="E302" s="7" t="n">
        <f>IF(A36="","",K36)</f>
        <v>0</v>
      </c>
      <c r="F302" s="7" t="n">
        <f>IF(A36="","",L36)</f>
        <v>0</v>
      </c>
    </row>
    <row r="303" ht="14" customHeight="true">
      <c r="A303" s="6" t="n">
        <f>IF(A37="","",A37)</f>
        <v>31</v>
      </c>
      <c r="B303" s="7" t="n">
        <f>IF(A37="","",H37)</f>
        <v>0</v>
      </c>
      <c r="C303" s="7" t="n">
        <f>IF(A37="","",I37)</f>
        <v>0</v>
      </c>
      <c r="D303" s="7" t="n">
        <f>IF(A37="","",J37)</f>
        <v>0</v>
      </c>
      <c r="E303" s="7" t="n">
        <f>IF(A37="","",K37)</f>
        <v>0</v>
      </c>
      <c r="F303" s="7" t="n">
        <f>IF(A37="","",L37)</f>
        <v>0</v>
      </c>
    </row>
    <row r="304" ht="14" customHeight="true">
      <c r="A304" s="6" t="n">
        <f>IF(A38="","",A38)</f>
        <v>32</v>
      </c>
      <c r="B304" s="7" t="n">
        <f>IF(A38="","",H38)</f>
        <v>0</v>
      </c>
      <c r="C304" s="7" t="n">
        <f>IF(A38="","",I38)</f>
        <v>0</v>
      </c>
      <c r="D304" s="7" t="n">
        <f>IF(A38="","",J38)</f>
        <v>0</v>
      </c>
      <c r="E304" s="7" t="n">
        <f>IF(A38="","",K38)</f>
        <v>0</v>
      </c>
      <c r="F304" s="7" t="n">
        <f>IF(A38="","",L38)</f>
        <v>0</v>
      </c>
    </row>
    <row r="305" ht="14" customHeight="true">
      <c r="A305" s="6" t="n">
        <f>IF(A39="","",A39)</f>
        <v>33</v>
      </c>
      <c r="B305" s="7" t="n">
        <f>IF(A39="","",H39)</f>
        <v>0</v>
      </c>
      <c r="C305" s="7" t="n">
        <f>IF(A39="","",I39)</f>
        <v>0</v>
      </c>
      <c r="D305" s="7" t="n">
        <f>IF(A39="","",J39)</f>
        <v>0</v>
      </c>
      <c r="E305" s="7" t="n">
        <f>IF(A39="","",K39)</f>
        <v>0</v>
      </c>
      <c r="F305" s="7" t="n">
        <f>IF(A39="","",L39)</f>
        <v>0</v>
      </c>
    </row>
    <row r="306" ht="14" customHeight="true">
      <c r="A306" s="6" t="n">
        <f>IF(A40="","",A40)</f>
        <v>34</v>
      </c>
      <c r="B306" s="7" t="n">
        <f>IF(A40="","",H40)</f>
        <v>0</v>
      </c>
      <c r="C306" s="7" t="n">
        <f>IF(A40="","",I40)</f>
        <v>0</v>
      </c>
      <c r="D306" s="7" t="n">
        <f>IF(A40="","",J40)</f>
        <v>0</v>
      </c>
      <c r="E306" s="7" t="n">
        <f>IF(A40="","",K40)</f>
        <v>0</v>
      </c>
      <c r="F306" s="7" t="n">
        <f>IF(A40="","",L40)</f>
        <v>0</v>
      </c>
    </row>
    <row r="307" ht="14" customHeight="true">
      <c r="A307" s="6" t="n">
        <f>IF(A41="","",A41)</f>
        <v>35</v>
      </c>
      <c r="B307" s="7" t="n">
        <f>IF(A41="","",H41)</f>
        <v>0</v>
      </c>
      <c r="C307" s="7" t="n">
        <f>IF(A41="","",I41)</f>
        <v>0</v>
      </c>
      <c r="D307" s="7" t="n">
        <f>IF(A41="","",J41)</f>
        <v>0</v>
      </c>
      <c r="E307" s="7" t="n">
        <f>IF(A41="","",K41)</f>
        <v>0</v>
      </c>
      <c r="F307" s="7" t="n">
        <f>IF(A41="","",L41)</f>
        <v>0</v>
      </c>
    </row>
    <row r="308" ht="14" customHeight="true">
      <c r="A308" s="6" t="n">
        <f>IF(A42="","",A42)</f>
        <v>36</v>
      </c>
      <c r="B308" s="7" t="n">
        <f>IF(A42="","",H42)</f>
        <v>0</v>
      </c>
      <c r="C308" s="7" t="n">
        <f>IF(A42="","",I42)</f>
        <v>0</v>
      </c>
      <c r="D308" s="7" t="n">
        <f>IF(A42="","",J42)</f>
        <v>0</v>
      </c>
      <c r="E308" s="7" t="n">
        <f>IF(A42="","",K42)</f>
        <v>0</v>
      </c>
      <c r="F308" s="7" t="n">
        <f>IF(A42="","",L42)</f>
        <v>0</v>
      </c>
    </row>
    <row r="309" ht="14" customHeight="true">
      <c r="A309" s="6" t="n">
        <f>IF(A43="","",A43)</f>
        <v>37</v>
      </c>
      <c r="B309" s="7" t="n">
        <f>IF(A43="","",H43)</f>
        <v>0</v>
      </c>
      <c r="C309" s="7" t="n">
        <f>IF(A43="","",I43)</f>
        <v>0</v>
      </c>
      <c r="D309" s="7" t="n">
        <f>IF(A43="","",J43)</f>
        <v>0</v>
      </c>
      <c r="E309" s="7" t="n">
        <f>IF(A43="","",K43)</f>
        <v>0</v>
      </c>
      <c r="F309" s="7" t="n">
        <f>IF(A43="","",L43)</f>
        <v>0</v>
      </c>
    </row>
    <row r="310" ht="14" customHeight="true">
      <c r="A310" s="6" t="n">
        <f>IF(A44="","",A44)</f>
        <v>38</v>
      </c>
      <c r="B310" s="7" t="n">
        <f>IF(A44="","",H44)</f>
        <v>0</v>
      </c>
      <c r="C310" s="7" t="n">
        <f>IF(A44="","",I44)</f>
        <v>0</v>
      </c>
      <c r="D310" s="7" t="n">
        <f>IF(A44="","",J44)</f>
        <v>0</v>
      </c>
      <c r="E310" s="7" t="n">
        <f>IF(A44="","",K44)</f>
        <v>0</v>
      </c>
      <c r="F310" s="7" t="n">
        <f>IF(A44="","",L44)</f>
        <v>0</v>
      </c>
    </row>
    <row r="311" ht="14" customHeight="true">
      <c r="A311" s="6" t="n">
        <f>IF(A45="","",A45)</f>
        <v>39</v>
      </c>
      <c r="B311" s="7" t="n">
        <f>IF(A45="","",H45)</f>
        <v>0</v>
      </c>
      <c r="C311" s="7" t="n">
        <f>IF(A45="","",I45)</f>
        <v>0</v>
      </c>
      <c r="D311" s="7" t="n">
        <f>IF(A45="","",J45)</f>
        <v>0</v>
      </c>
      <c r="E311" s="7" t="n">
        <f>IF(A45="","",K45)</f>
        <v>0</v>
      </c>
      <c r="F311" s="7" t="n">
        <f>IF(A45="","",L45)</f>
        <v>0</v>
      </c>
    </row>
    <row r="312" ht="14" customHeight="true">
      <c r="A312" s="6" t="n">
        <f>IF(A46="","",A46)</f>
        <v>40</v>
      </c>
      <c r="B312" s="7" t="n">
        <f>IF(A46="","",H46)</f>
        <v>0</v>
      </c>
      <c r="C312" s="7" t="n">
        <f>IF(A46="","",I46)</f>
        <v>0</v>
      </c>
      <c r="D312" s="7" t="n">
        <f>IF(A46="","",J46)</f>
        <v>0</v>
      </c>
      <c r="E312" s="7" t="n">
        <f>IF(A46="","",K46)</f>
        <v>0</v>
      </c>
      <c r="F312" s="7" t="n">
        <f>IF(A46="","",L46)</f>
        <v>0</v>
      </c>
    </row>
    <row r="313" ht="14" customHeight="true">
      <c r="A313" s="6" t="n">
        <f>IF(A47="","",A47)</f>
        <v>41</v>
      </c>
      <c r="B313" s="7" t="n">
        <f>IF(A47="","",H47)</f>
        <v>0</v>
      </c>
      <c r="C313" s="7" t="n">
        <f>IF(A47="","",I47)</f>
        <v>0</v>
      </c>
      <c r="D313" s="7" t="n">
        <f>IF(A47="","",J47)</f>
        <v>0</v>
      </c>
      <c r="E313" s="7" t="n">
        <f>IF(A47="","",K47)</f>
        <v>0</v>
      </c>
      <c r="F313" s="7" t="n">
        <f>IF(A47="","",L47)</f>
        <v>0</v>
      </c>
    </row>
    <row r="314" ht="14" customHeight="true">
      <c r="A314" s="6" t="n">
        <f>IF(A48="","",A48)</f>
        <v>42</v>
      </c>
      <c r="B314" s="7" t="n">
        <f>IF(A48="","",H48)</f>
        <v>0</v>
      </c>
      <c r="C314" s="7" t="n">
        <f>IF(A48="","",I48)</f>
        <v>0</v>
      </c>
      <c r="D314" s="7" t="n">
        <f>IF(A48="","",J48)</f>
        <v>0</v>
      </c>
      <c r="E314" s="7" t="n">
        <f>IF(A48="","",K48)</f>
        <v>0</v>
      </c>
      <c r="F314" s="7" t="n">
        <f>IF(A48="","",L48)</f>
        <v>0</v>
      </c>
    </row>
    <row r="315" ht="14" customHeight="true">
      <c r="A315" s="6" t="n">
        <f>IF(A49="","",A49)</f>
        <v>43</v>
      </c>
      <c r="B315" s="7" t="n">
        <f>IF(A49="","",H49)</f>
        <v>0</v>
      </c>
      <c r="C315" s="7" t="n">
        <f>IF(A49="","",I49)</f>
        <v>0</v>
      </c>
      <c r="D315" s="7" t="n">
        <f>IF(A49="","",J49)</f>
        <v>0</v>
      </c>
      <c r="E315" s="7" t="n">
        <f>IF(A49="","",K49)</f>
        <v>0</v>
      </c>
      <c r="F315" s="7" t="n">
        <f>IF(A49="","",L49)</f>
        <v>0</v>
      </c>
    </row>
    <row r="316" ht="14" customHeight="true">
      <c r="A316" s="6" t="n">
        <f>IF(A50="","",A50)</f>
        <v>44</v>
      </c>
      <c r="B316" s="7" t="n">
        <f>IF(A50="","",H50)</f>
        <v>0</v>
      </c>
      <c r="C316" s="7" t="n">
        <f>IF(A50="","",I50)</f>
        <v>0</v>
      </c>
      <c r="D316" s="7" t="n">
        <f>IF(A50="","",J50)</f>
        <v>0</v>
      </c>
      <c r="E316" s="7" t="n">
        <f>IF(A50="","",K50)</f>
        <v>0</v>
      </c>
      <c r="F316" s="7" t="n">
        <f>IF(A50="","",L50)</f>
        <v>0</v>
      </c>
    </row>
    <row r="317" ht="14" customHeight="true">
      <c r="A317" s="6" t="n">
        <f>IF(A51="","",A51)</f>
        <v>45</v>
      </c>
      <c r="B317" s="7" t="n">
        <f>IF(A51="","",H51)</f>
        <v>0</v>
      </c>
      <c r="C317" s="7" t="n">
        <f>IF(A51="","",I51)</f>
        <v>0</v>
      </c>
      <c r="D317" s="7" t="n">
        <f>IF(A51="","",J51)</f>
        <v>0</v>
      </c>
      <c r="E317" s="7" t="n">
        <f>IF(A51="","",K51)</f>
        <v>0</v>
      </c>
      <c r="F317" s="7" t="n">
        <f>IF(A51="","",L51)</f>
        <v>0</v>
      </c>
    </row>
    <row r="318" ht="14" customHeight="true">
      <c r="A318" s="6" t="n">
        <f>IF(A52="","",A52)</f>
        <v>46</v>
      </c>
      <c r="B318" s="7" t="n">
        <f>IF(A52="","",H52)</f>
        <v>0</v>
      </c>
      <c r="C318" s="7" t="n">
        <f>IF(A52="","",I52)</f>
        <v>0</v>
      </c>
      <c r="D318" s="7" t="n">
        <f>IF(A52="","",J52)</f>
        <v>0</v>
      </c>
      <c r="E318" s="7" t="n">
        <f>IF(A52="","",K52)</f>
        <v>0</v>
      </c>
      <c r="F318" s="7" t="n">
        <f>IF(A52="","",L52)</f>
        <v>0</v>
      </c>
    </row>
    <row r="319" ht="14" customHeight="true">
      <c r="A319" s="6" t="n">
        <f>IF(A53="","",A53)</f>
        <v>47</v>
      </c>
      <c r="B319" s="7" t="n">
        <f>IF(A53="","",H53)</f>
        <v>0</v>
      </c>
      <c r="C319" s="7" t="n">
        <f>IF(A53="","",I53)</f>
        <v>0</v>
      </c>
      <c r="D319" s="7" t="n">
        <f>IF(A53="","",J53)</f>
        <v>0</v>
      </c>
      <c r="E319" s="7" t="n">
        <f>IF(A53="","",K53)</f>
        <v>0</v>
      </c>
      <c r="F319" s="7" t="n">
        <f>IF(A53="","",L53)</f>
        <v>0</v>
      </c>
    </row>
    <row r="320" ht="14" customHeight="true">
      <c r="A320" s="6" t="n">
        <f>IF(A54="","",A54)</f>
        <v>48</v>
      </c>
      <c r="B320" s="7" t="n">
        <f>IF(A54="","",H54)</f>
        <v>0</v>
      </c>
      <c r="C320" s="7" t="n">
        <f>IF(A54="","",I54)</f>
        <v>0</v>
      </c>
      <c r="D320" s="7" t="n">
        <f>IF(A54="","",J54)</f>
        <v>0</v>
      </c>
      <c r="E320" s="7" t="n">
        <f>IF(A54="","",K54)</f>
        <v>0</v>
      </c>
      <c r="F320" s="7" t="n">
        <f>IF(A54="","",L54)</f>
        <v>0</v>
      </c>
    </row>
    <row r="321" ht="14" customHeight="true">
      <c r="A321" s="6" t="str">
        <f>IF(A55="","",A55)</f>
        <v/>
      </c>
      <c r="B321" s="7" t="str">
        <f>IF(A55="","",H55)</f>
        <v/>
      </c>
      <c r="C321" s="7" t="str">
        <f>IF(A55="","",I55)</f>
        <v/>
      </c>
      <c r="D321" s="7" t="str">
        <f>IF(A55="","",J55)</f>
        <v/>
      </c>
      <c r="E321" s="7" t="str">
        <f>IF(A55="","",K55)</f>
        <v/>
      </c>
      <c r="F321" s="7" t="str">
        <f>IF(A55="","",L55)</f>
        <v/>
      </c>
    </row>
    <row r="322" ht="14" customHeight="true">
      <c r="A322" s="6" t="str">
        <f>IF(A56="","",A56)</f>
        <v/>
      </c>
      <c r="B322" s="7" t="str">
        <f>IF(A56="","",H56)</f>
        <v/>
      </c>
      <c r="C322" s="7" t="str">
        <f>IF(A56="","",I56)</f>
        <v/>
      </c>
      <c r="D322" s="7" t="str">
        <f>IF(A56="","",J56)</f>
        <v/>
      </c>
      <c r="E322" s="7" t="str">
        <f>IF(A56="","",K56)</f>
        <v/>
      </c>
      <c r="F322" s="7" t="str">
        <f>IF(A56="","",L56)</f>
        <v/>
      </c>
    </row>
    <row r="323" ht="14" customHeight="true">
      <c r="A323" s="6" t="str">
        <f>IF(A57="","",A57)</f>
        <v/>
      </c>
      <c r="B323" s="7" t="str">
        <f>IF(A57="","",H57)</f>
        <v/>
      </c>
      <c r="C323" s="7" t="str">
        <f>IF(A57="","",I57)</f>
        <v/>
      </c>
      <c r="D323" s="7" t="str">
        <f>IF(A57="","",J57)</f>
        <v/>
      </c>
      <c r="E323" s="7" t="str">
        <f>IF(A57="","",K57)</f>
        <v/>
      </c>
      <c r="F323" s="7" t="str">
        <f>IF(A57="","",L57)</f>
        <v/>
      </c>
    </row>
    <row r="324" ht="14" customHeight="true">
      <c r="A324" s="6" t="str">
        <f>IF(A58="","",A58)</f>
        <v/>
      </c>
      <c r="B324" s="7" t="str">
        <f>IF(A58="","",H58)</f>
        <v/>
      </c>
      <c r="C324" s="7" t="str">
        <f>IF(A58="","",I58)</f>
        <v/>
      </c>
      <c r="D324" s="7" t="str">
        <f>IF(A58="","",J58)</f>
        <v/>
      </c>
      <c r="E324" s="7" t="str">
        <f>IF(A58="","",K58)</f>
        <v/>
      </c>
      <c r="F324" s="7" t="str">
        <f>IF(A58="","",L58)</f>
        <v/>
      </c>
    </row>
    <row r="325" ht="14" customHeight="true">
      <c r="A325" s="6" t="str">
        <f>IF(A59="","",A59)</f>
        <v/>
      </c>
      <c r="B325" s="7" t="str">
        <f>IF(A59="","",H59)</f>
        <v/>
      </c>
      <c r="C325" s="7" t="str">
        <f>IF(A59="","",I59)</f>
        <v/>
      </c>
      <c r="D325" s="7" t="str">
        <f>IF(A59="","",J59)</f>
        <v/>
      </c>
      <c r="E325" s="7" t="str">
        <f>IF(A59="","",K59)</f>
        <v/>
      </c>
      <c r="F325" s="7" t="str">
        <f>IF(A59="","",L59)</f>
        <v/>
      </c>
    </row>
    <row r="326" ht="14" customHeight="true">
      <c r="A326" s="6" t="str">
        <f>IF(A60="","",A60)</f>
        <v/>
      </c>
      <c r="B326" s="7" t="str">
        <f>IF(A60="","",H60)</f>
        <v/>
      </c>
      <c r="C326" s="7" t="str">
        <f>IF(A60="","",I60)</f>
        <v/>
      </c>
      <c r="D326" s="7" t="str">
        <f>IF(A60="","",J60)</f>
        <v/>
      </c>
      <c r="E326" s="7" t="str">
        <f>IF(A60="","",K60)</f>
        <v/>
      </c>
      <c r="F326" s="7" t="str">
        <f>IF(A60="","",L60)</f>
        <v/>
      </c>
    </row>
    <row r="327" ht="14" customHeight="true">
      <c r="A327" s="6" t="str">
        <f>IF(A61="","",A61)</f>
        <v/>
      </c>
      <c r="B327" s="7" t="str">
        <f>IF(A61="","",H61)</f>
        <v/>
      </c>
      <c r="C327" s="7" t="str">
        <f>IF(A61="","",I61)</f>
        <v/>
      </c>
      <c r="D327" s="7" t="str">
        <f>IF(A61="","",J61)</f>
        <v/>
      </c>
      <c r="E327" s="7" t="str">
        <f>IF(A61="","",K61)</f>
        <v/>
      </c>
      <c r="F327" s="7" t="str">
        <f>IF(A61="","",L61)</f>
        <v/>
      </c>
    </row>
    <row r="328" ht="14" customHeight="true">
      <c r="A328" s="6" t="str">
        <f>IF(A62="","",A62)</f>
        <v/>
      </c>
      <c r="B328" s="7" t="str">
        <f>IF(A62="","",H62)</f>
        <v/>
      </c>
      <c r="C328" s="7" t="str">
        <f>IF(A62="","",I62)</f>
        <v/>
      </c>
      <c r="D328" s="7" t="str">
        <f>IF(A62="","",J62)</f>
        <v/>
      </c>
      <c r="E328" s="7" t="str">
        <f>IF(A62="","",K62)</f>
        <v/>
      </c>
      <c r="F328" s="7" t="str">
        <f>IF(A62="","",L62)</f>
        <v/>
      </c>
    </row>
    <row r="329" ht="14" customHeight="true">
      <c r="A329" s="6" t="str">
        <f>IF(A63="","",A63)</f>
        <v/>
      </c>
      <c r="B329" s="7" t="str">
        <f>IF(A63="","",H63)</f>
        <v/>
      </c>
      <c r="C329" s="7" t="str">
        <f>IF(A63="","",I63)</f>
        <v/>
      </c>
      <c r="D329" s="7" t="str">
        <f>IF(A63="","",J63)</f>
        <v/>
      </c>
      <c r="E329" s="7" t="str">
        <f>IF(A63="","",K63)</f>
        <v/>
      </c>
      <c r="F329" s="7" t="str">
        <f>IF(A63="","",L63)</f>
        <v/>
      </c>
    </row>
    <row r="330" ht="14" customHeight="true">
      <c r="A330" s="6" t="str">
        <f>IF(A64="","",A64)</f>
        <v/>
      </c>
      <c r="B330" s="7" t="str">
        <f>IF(A64="","",H64)</f>
        <v/>
      </c>
      <c r="C330" s="7" t="str">
        <f>IF(A64="","",I64)</f>
        <v/>
      </c>
      <c r="D330" s="7" t="str">
        <f>IF(A64="","",J64)</f>
        <v/>
      </c>
      <c r="E330" s="7" t="str">
        <f>IF(A64="","",K64)</f>
        <v/>
      </c>
      <c r="F330" s="7" t="str">
        <f>IF(A64="","",L64)</f>
        <v/>
      </c>
    </row>
    <row r="331" ht="14" customHeight="true">
      <c r="A331" s="6" t="str">
        <f>IF(A65="","",A65)</f>
        <v/>
      </c>
      <c r="B331" s="7" t="str">
        <f>IF(A65="","",H65)</f>
        <v/>
      </c>
      <c r="C331" s="7" t="str">
        <f>IF(A65="","",I65)</f>
        <v/>
      </c>
      <c r="D331" s="7" t="str">
        <f>IF(A65="","",J65)</f>
        <v/>
      </c>
      <c r="E331" s="7" t="str">
        <f>IF(A65="","",K65)</f>
        <v/>
      </c>
      <c r="F331" s="7" t="str">
        <f>IF(A65="","",L65)</f>
        <v/>
      </c>
    </row>
    <row r="332" ht="14" customHeight="true">
      <c r="A332" s="6" t="str">
        <f>IF(A66="","",A66)</f>
        <v/>
      </c>
      <c r="B332" s="7" t="str">
        <f>IF(A66="","",H66)</f>
        <v/>
      </c>
      <c r="C332" s="7" t="str">
        <f>IF(A66="","",I66)</f>
        <v/>
      </c>
      <c r="D332" s="7" t="str">
        <f>IF(A66="","",J66)</f>
        <v/>
      </c>
      <c r="E332" s="7" t="str">
        <f>IF(A66="","",K66)</f>
        <v/>
      </c>
      <c r="F332" s="7" t="str">
        <f>IF(A66="","",L66)</f>
        <v/>
      </c>
    </row>
    <row r="340" ht="24" customHeight="true">
      <c r="A340" s="1" t="str">
        <f>"Druckbereich · Zielstände B · Teil 1/2"</f>
        <v>Druckbereich · Zielstände B · Teil 1/2</v>
      </c>
    </row>
    <row r="341" ht="36" customHeight="true">
      <c r="A341" s="2" t="str">
        <f>"Mein Plan: "&amp;Ziele!$B$5&amp;IF(Ziele!$B$5=1," Monat. "," Monate. ")&amp;"Zielstände 1–3 nach der Einzahlung des Monats. Teil 2 zeigt Ziele 4–6 und die Summe aller sechs Zielstände."</f>
        <v>Mein Plan: 48 Monate. Zielstände 1–3 nach der Einzahlung des Monats. Teil 2 zeigt Ziele 4–6 und die Summe aller sechs Zielstände.</v>
      </c>
    </row>
    <row r="342" ht="33.75" customHeight="true">
      <c r="A342" s="3" t="str">
        <f>A74</f>
        <v>Monat</v>
      </c>
      <c r="B342" s="3" t="str">
        <f>B74</f>
        <v>Reserve</v>
      </c>
      <c r="C342" s="3" t="str">
        <f>C74</f>
        <v>Eigenkapital</v>
      </c>
      <c r="D342" s="3" t="str">
        <f>D74</f>
        <v>Ziel 3</v>
      </c>
    </row>
    <row r="343" ht="14" customHeight="true">
      <c r="A343" s="6" t="n">
        <f>IF(A75="","",A75)</f>
        <v>1</v>
      </c>
      <c r="B343" s="7" t="n">
        <f>IF(A75="","",B75)</f>
        <v>8200</v>
      </c>
      <c r="C343" s="7" t="n">
        <f>IF(A75="","",C75)</f>
        <v>18150</v>
      </c>
      <c r="D343" s="7" t="n">
        <f>IF(A75="","",D75)</f>
        <v>0</v>
      </c>
    </row>
    <row r="344" ht="14" customHeight="true">
      <c r="A344" s="6" t="n">
        <f>IF(A76="","",A76)</f>
        <v>2</v>
      </c>
      <c r="B344" s="7" t="n">
        <f>IF(A76="","",B76)</f>
        <v>8400</v>
      </c>
      <c r="C344" s="7" t="n">
        <f>IF(A76="","",C76)</f>
        <v>18300</v>
      </c>
      <c r="D344" s="7" t="n">
        <f>IF(A76="","",D76)</f>
        <v>0</v>
      </c>
    </row>
    <row r="345" ht="14" customHeight="true">
      <c r="A345" s="6" t="n">
        <f>IF(A77="","",A77)</f>
        <v>3</v>
      </c>
      <c r="B345" s="7" t="n">
        <f>IF(A77="","",B77)</f>
        <v>8600</v>
      </c>
      <c r="C345" s="7" t="n">
        <f>IF(A77="","",C77)</f>
        <v>18450</v>
      </c>
      <c r="D345" s="7" t="n">
        <f>IF(A77="","",D77)</f>
        <v>0</v>
      </c>
    </row>
    <row r="346" ht="14" customHeight="true">
      <c r="A346" s="6" t="n">
        <f>IF(A78="","",A78)</f>
        <v>4</v>
      </c>
      <c r="B346" s="7" t="n">
        <f>IF(A78="","",B78)</f>
        <v>8800</v>
      </c>
      <c r="C346" s="7" t="n">
        <f>IF(A78="","",C78)</f>
        <v>18600</v>
      </c>
      <c r="D346" s="7" t="n">
        <f>IF(A78="","",D78)</f>
        <v>0</v>
      </c>
    </row>
    <row r="347" ht="14" customHeight="true">
      <c r="A347" s="6" t="n">
        <f>IF(A79="","",A79)</f>
        <v>5</v>
      </c>
      <c r="B347" s="7" t="n">
        <f>IF(A79="","",B79)</f>
        <v>9000</v>
      </c>
      <c r="C347" s="7" t="n">
        <f>IF(A79="","",C79)</f>
        <v>18750</v>
      </c>
      <c r="D347" s="7" t="n">
        <f>IF(A79="","",D79)</f>
        <v>0</v>
      </c>
    </row>
    <row r="348" ht="14" customHeight="true">
      <c r="A348" s="6" t="n">
        <f>IF(A80="","",A80)</f>
        <v>6</v>
      </c>
      <c r="B348" s="7" t="n">
        <f>IF(A80="","",B80)</f>
        <v>9200</v>
      </c>
      <c r="C348" s="7" t="n">
        <f>IF(A80="","",C80)</f>
        <v>18900</v>
      </c>
      <c r="D348" s="7" t="n">
        <f>IF(A80="","",D80)</f>
        <v>0</v>
      </c>
    </row>
    <row r="349" ht="14" customHeight="true">
      <c r="A349" s="6" t="n">
        <f>IF(A81="","",A81)</f>
        <v>7</v>
      </c>
      <c r="B349" s="7" t="n">
        <f>IF(A81="","",B81)</f>
        <v>9400</v>
      </c>
      <c r="C349" s="7" t="n">
        <f>IF(A81="","",C81)</f>
        <v>19050</v>
      </c>
      <c r="D349" s="7" t="n">
        <f>IF(A81="","",D81)</f>
        <v>0</v>
      </c>
    </row>
    <row r="350" ht="14" customHeight="true">
      <c r="A350" s="6" t="n">
        <f>IF(A82="","",A82)</f>
        <v>8</v>
      </c>
      <c r="B350" s="7" t="n">
        <f>IF(A82="","",B82)</f>
        <v>9600</v>
      </c>
      <c r="C350" s="7" t="n">
        <f>IF(A82="","",C82)</f>
        <v>19200</v>
      </c>
      <c r="D350" s="7" t="n">
        <f>IF(A82="","",D82)</f>
        <v>0</v>
      </c>
    </row>
    <row r="351" ht="14" customHeight="true">
      <c r="A351" s="6" t="n">
        <f>IF(A83="","",A83)</f>
        <v>9</v>
      </c>
      <c r="B351" s="7" t="n">
        <f>IF(A83="","",B83)</f>
        <v>9800</v>
      </c>
      <c r="C351" s="7" t="n">
        <f>IF(A83="","",C83)</f>
        <v>19350</v>
      </c>
      <c r="D351" s="7" t="n">
        <f>IF(A83="","",D83)</f>
        <v>0</v>
      </c>
    </row>
    <row r="352" ht="14" customHeight="true">
      <c r="A352" s="6" t="n">
        <f>IF(A84="","",A84)</f>
        <v>10</v>
      </c>
      <c r="B352" s="7" t="n">
        <f>IF(A84="","",B84)</f>
        <v>10000</v>
      </c>
      <c r="C352" s="7" t="n">
        <f>IF(A84="","",C84)</f>
        <v>19500</v>
      </c>
      <c r="D352" s="7" t="n">
        <f>IF(A84="","",D84)</f>
        <v>0</v>
      </c>
    </row>
    <row r="353" ht="14" customHeight="true">
      <c r="A353" s="6" t="n">
        <f>IF(A85="","",A85)</f>
        <v>11</v>
      </c>
      <c r="B353" s="7" t="n">
        <f>IF(A85="","",B85)</f>
        <v>10000</v>
      </c>
      <c r="C353" s="7" t="n">
        <f>IF(A85="","",C85)</f>
        <v>19850</v>
      </c>
      <c r="D353" s="7" t="n">
        <f>IF(A85="","",D85)</f>
        <v>0</v>
      </c>
    </row>
    <row r="354" ht="14" customHeight="true">
      <c r="A354" s="6" t="n">
        <f>IF(A86="","",A86)</f>
        <v>12</v>
      </c>
      <c r="B354" s="7" t="n">
        <f>IF(A86="","",B86)</f>
        <v>10000</v>
      </c>
      <c r="C354" s="7" t="n">
        <f>IF(A86="","",C86)</f>
        <v>20200</v>
      </c>
      <c r="D354" s="7" t="n">
        <f>IF(A86="","",D86)</f>
        <v>0</v>
      </c>
    </row>
    <row r="355" ht="14" customHeight="true">
      <c r="A355" s="6" t="n">
        <f>IF(A87="","",A87)</f>
        <v>13</v>
      </c>
      <c r="B355" s="7" t="n">
        <f>IF(A87="","",B87)</f>
        <v>10000</v>
      </c>
      <c r="C355" s="7" t="n">
        <f>IF(A87="","",C87)</f>
        <v>20400</v>
      </c>
      <c r="D355" s="7" t="n">
        <f>IF(A87="","",D87)</f>
        <v>0</v>
      </c>
    </row>
    <row r="356" ht="14" customHeight="true">
      <c r="A356" s="6" t="n">
        <f>IF(A88="","",A88)</f>
        <v>14</v>
      </c>
      <c r="B356" s="7" t="n">
        <f>IF(A88="","",B88)</f>
        <v>10000</v>
      </c>
      <c r="C356" s="7" t="n">
        <f>IF(A88="","",C88)</f>
        <v>20600</v>
      </c>
      <c r="D356" s="7" t="n">
        <f>IF(A88="","",D88)</f>
        <v>0</v>
      </c>
    </row>
    <row r="357" ht="14" customHeight="true">
      <c r="A357" s="6" t="n">
        <f>IF(A89="","",A89)</f>
        <v>15</v>
      </c>
      <c r="B357" s="7" t="n">
        <f>IF(A89="","",B89)</f>
        <v>10000</v>
      </c>
      <c r="C357" s="7" t="n">
        <f>IF(A89="","",C89)</f>
        <v>20800</v>
      </c>
      <c r="D357" s="7" t="n">
        <f>IF(A89="","",D89)</f>
        <v>0</v>
      </c>
    </row>
    <row r="358" ht="14" customHeight="true">
      <c r="A358" s="6" t="n">
        <f>IF(A90="","",A90)</f>
        <v>16</v>
      </c>
      <c r="B358" s="7" t="n">
        <f>IF(A90="","",B90)</f>
        <v>10000</v>
      </c>
      <c r="C358" s="7" t="n">
        <f>IF(A90="","",C90)</f>
        <v>21000</v>
      </c>
      <c r="D358" s="7" t="n">
        <f>IF(A90="","",D90)</f>
        <v>0</v>
      </c>
    </row>
    <row r="359" ht="14" customHeight="true">
      <c r="A359" s="6" t="n">
        <f>IF(A91="","",A91)</f>
        <v>17</v>
      </c>
      <c r="B359" s="7" t="n">
        <f>IF(A91="","",B91)</f>
        <v>10000</v>
      </c>
      <c r="C359" s="7" t="n">
        <f>IF(A91="","",C91)</f>
        <v>21200</v>
      </c>
      <c r="D359" s="7" t="n">
        <f>IF(A91="","",D91)</f>
        <v>0</v>
      </c>
    </row>
    <row r="360" ht="14" customHeight="true">
      <c r="A360" s="6" t="n">
        <f>IF(A92="","",A92)</f>
        <v>18</v>
      </c>
      <c r="B360" s="7" t="n">
        <f>IF(A92="","",B92)</f>
        <v>10000</v>
      </c>
      <c r="C360" s="7" t="n">
        <f>IF(A92="","",C92)</f>
        <v>21400</v>
      </c>
      <c r="D360" s="7" t="n">
        <f>IF(A92="","",D92)</f>
        <v>0</v>
      </c>
    </row>
    <row r="361" ht="14" customHeight="true">
      <c r="A361" s="6" t="n">
        <f>IF(A93="","",A93)</f>
        <v>19</v>
      </c>
      <c r="B361" s="7" t="n">
        <f>IF(A93="","",B93)</f>
        <v>10000</v>
      </c>
      <c r="C361" s="7" t="n">
        <f>IF(A93="","",C93)</f>
        <v>21750</v>
      </c>
      <c r="D361" s="7" t="n">
        <f>IF(A93="","",D93)</f>
        <v>0</v>
      </c>
    </row>
    <row r="362" ht="14" customHeight="true">
      <c r="A362" s="6" t="n">
        <f>IF(A94="","",A94)</f>
        <v>20</v>
      </c>
      <c r="B362" s="7" t="n">
        <f>IF(A94="","",B94)</f>
        <v>10000</v>
      </c>
      <c r="C362" s="7" t="n">
        <f>IF(A94="","",C94)</f>
        <v>22100</v>
      </c>
      <c r="D362" s="7" t="n">
        <f>IF(A94="","",D94)</f>
        <v>0</v>
      </c>
    </row>
    <row r="363" ht="14" customHeight="true">
      <c r="A363" s="6" t="n">
        <f>IF(A95="","",A95)</f>
        <v>21</v>
      </c>
      <c r="B363" s="7" t="n">
        <f>IF(A95="","",B95)</f>
        <v>10000</v>
      </c>
      <c r="C363" s="7" t="n">
        <f>IF(A95="","",C95)</f>
        <v>22450</v>
      </c>
      <c r="D363" s="7" t="n">
        <f>IF(A95="","",D95)</f>
        <v>0</v>
      </c>
    </row>
    <row r="364" ht="14" customHeight="true">
      <c r="A364" s="6" t="n">
        <f>IF(A96="","",A96)</f>
        <v>22</v>
      </c>
      <c r="B364" s="7" t="n">
        <f>IF(A96="","",B96)</f>
        <v>10000</v>
      </c>
      <c r="C364" s="7" t="n">
        <f>IF(A96="","",C96)</f>
        <v>22800</v>
      </c>
      <c r="D364" s="7" t="n">
        <f>IF(A96="","",D96)</f>
        <v>0</v>
      </c>
    </row>
    <row r="365" ht="14" customHeight="true">
      <c r="A365" s="6" t="n">
        <f>IF(A97="","",A97)</f>
        <v>23</v>
      </c>
      <c r="B365" s="7" t="n">
        <f>IF(A97="","",B97)</f>
        <v>10000</v>
      </c>
      <c r="C365" s="7" t="n">
        <f>IF(A97="","",C97)</f>
        <v>23150</v>
      </c>
      <c r="D365" s="7" t="n">
        <f>IF(A97="","",D97)</f>
        <v>0</v>
      </c>
    </row>
    <row r="366" ht="14" customHeight="true">
      <c r="A366" s="6" t="n">
        <f>IF(A98="","",A98)</f>
        <v>24</v>
      </c>
      <c r="B366" s="7" t="n">
        <f>IF(A98="","",B98)</f>
        <v>10000</v>
      </c>
      <c r="C366" s="7" t="n">
        <f>IF(A98="","",C98)</f>
        <v>23500</v>
      </c>
      <c r="D366" s="7" t="n">
        <f>IF(A98="","",D98)</f>
        <v>0</v>
      </c>
    </row>
    <row r="367" ht="14" customHeight="true">
      <c r="A367" s="6" t="n">
        <f>IF(A99="","",A99)</f>
        <v>25</v>
      </c>
      <c r="B367" s="7" t="n">
        <f>IF(A99="","",B99)</f>
        <v>10000</v>
      </c>
      <c r="C367" s="7" t="n">
        <f>IF(A99="","",C99)</f>
        <v>23850</v>
      </c>
      <c r="D367" s="7" t="n">
        <f>IF(A99="","",D99)</f>
        <v>0</v>
      </c>
    </row>
    <row r="368" ht="14" customHeight="true">
      <c r="A368" s="6" t="n">
        <f>IF(A100="","",A100)</f>
        <v>26</v>
      </c>
      <c r="B368" s="7" t="n">
        <f>IF(A100="","",B100)</f>
        <v>10000</v>
      </c>
      <c r="C368" s="7" t="n">
        <f>IF(A100="","",C100)</f>
        <v>24200</v>
      </c>
      <c r="D368" s="7" t="n">
        <f>IF(A100="","",D100)</f>
        <v>0</v>
      </c>
    </row>
    <row r="369" ht="14" customHeight="true">
      <c r="A369" s="6" t="n">
        <f>IF(A101="","",A101)</f>
        <v>27</v>
      </c>
      <c r="B369" s="7" t="n">
        <f>IF(A101="","",B101)</f>
        <v>10000</v>
      </c>
      <c r="C369" s="7" t="n">
        <f>IF(A101="","",C101)</f>
        <v>24550</v>
      </c>
      <c r="D369" s="7" t="n">
        <f>IF(A101="","",D101)</f>
        <v>0</v>
      </c>
    </row>
    <row r="370" ht="14" customHeight="true">
      <c r="A370" s="6" t="n">
        <f>IF(A102="","",A102)</f>
        <v>28</v>
      </c>
      <c r="B370" s="7" t="n">
        <f>IF(A102="","",B102)</f>
        <v>10000</v>
      </c>
      <c r="C370" s="7" t="n">
        <f>IF(A102="","",C102)</f>
        <v>24900</v>
      </c>
      <c r="D370" s="7" t="n">
        <f>IF(A102="","",D102)</f>
        <v>0</v>
      </c>
    </row>
    <row r="371" ht="14" customHeight="true">
      <c r="A371" s="6" t="n">
        <f>IF(A103="","",A103)</f>
        <v>29</v>
      </c>
      <c r="B371" s="7" t="n">
        <f>IF(A103="","",B103)</f>
        <v>10000</v>
      </c>
      <c r="C371" s="7" t="n">
        <f>IF(A103="","",C103)</f>
        <v>25250</v>
      </c>
      <c r="D371" s="7" t="n">
        <f>IF(A103="","",D103)</f>
        <v>0</v>
      </c>
    </row>
    <row r="372" ht="14" customHeight="true">
      <c r="A372" s="6" t="n">
        <f>IF(A104="","",A104)</f>
        <v>30</v>
      </c>
      <c r="B372" s="7" t="n">
        <f>IF(A104="","",B104)</f>
        <v>10000</v>
      </c>
      <c r="C372" s="7" t="n">
        <f>IF(A104="","",C104)</f>
        <v>25600</v>
      </c>
      <c r="D372" s="7" t="n">
        <f>IF(A104="","",D104)</f>
        <v>0</v>
      </c>
    </row>
    <row r="373" ht="14" customHeight="true">
      <c r="A373" s="6" t="n">
        <f>IF(A105="","",A105)</f>
        <v>31</v>
      </c>
      <c r="B373" s="7" t="n">
        <f>IF(A105="","",B105)</f>
        <v>10000</v>
      </c>
      <c r="C373" s="7" t="n">
        <f>IF(A105="","",C105)</f>
        <v>25950</v>
      </c>
      <c r="D373" s="7" t="n">
        <f>IF(A105="","",D105)</f>
        <v>0</v>
      </c>
    </row>
    <row r="374" ht="14" customHeight="true">
      <c r="A374" s="6" t="n">
        <f>IF(A106="","",A106)</f>
        <v>32</v>
      </c>
      <c r="B374" s="7" t="n">
        <f>IF(A106="","",B106)</f>
        <v>10000</v>
      </c>
      <c r="C374" s="7" t="n">
        <f>IF(A106="","",C106)</f>
        <v>26300</v>
      </c>
      <c r="D374" s="7" t="n">
        <f>IF(A106="","",D106)</f>
        <v>0</v>
      </c>
    </row>
    <row r="375" ht="14" customHeight="true">
      <c r="A375" s="6" t="n">
        <f>IF(A107="","",A107)</f>
        <v>33</v>
      </c>
      <c r="B375" s="7" t="n">
        <f>IF(A107="","",B107)</f>
        <v>10000</v>
      </c>
      <c r="C375" s="7" t="n">
        <f>IF(A107="","",C107)</f>
        <v>26650</v>
      </c>
      <c r="D375" s="7" t="n">
        <f>IF(A107="","",D107)</f>
        <v>0</v>
      </c>
    </row>
    <row r="376" ht="14" customHeight="true">
      <c r="A376" s="6" t="n">
        <f>IF(A108="","",A108)</f>
        <v>34</v>
      </c>
      <c r="B376" s="7" t="n">
        <f>IF(A108="","",B108)</f>
        <v>10000</v>
      </c>
      <c r="C376" s="7" t="n">
        <f>IF(A108="","",C108)</f>
        <v>27000</v>
      </c>
      <c r="D376" s="7" t="n">
        <f>IF(A108="","",D108)</f>
        <v>0</v>
      </c>
    </row>
    <row r="377" ht="14" customHeight="true">
      <c r="A377" s="6" t="n">
        <f>IF(A109="","",A109)</f>
        <v>35</v>
      </c>
      <c r="B377" s="7" t="n">
        <f>IF(A109="","",B109)</f>
        <v>10000</v>
      </c>
      <c r="C377" s="7" t="n">
        <f>IF(A109="","",C109)</f>
        <v>27350</v>
      </c>
      <c r="D377" s="7" t="n">
        <f>IF(A109="","",D109)</f>
        <v>0</v>
      </c>
    </row>
    <row r="378" ht="14" customHeight="true">
      <c r="A378" s="6" t="n">
        <f>IF(A110="","",A110)</f>
        <v>36</v>
      </c>
      <c r="B378" s="7" t="n">
        <f>IF(A110="","",B110)</f>
        <v>10000</v>
      </c>
      <c r="C378" s="7" t="n">
        <f>IF(A110="","",C110)</f>
        <v>27700</v>
      </c>
      <c r="D378" s="7" t="n">
        <f>IF(A110="","",D110)</f>
        <v>0</v>
      </c>
    </row>
    <row r="379" ht="14" customHeight="true">
      <c r="A379" s="6" t="n">
        <f>IF(A111="","",A111)</f>
        <v>37</v>
      </c>
      <c r="B379" s="7" t="n">
        <f>IF(A111="","",B111)</f>
        <v>10000</v>
      </c>
      <c r="C379" s="7" t="n">
        <f>IF(A111="","",C111)</f>
        <v>28050</v>
      </c>
      <c r="D379" s="7" t="n">
        <f>IF(A111="","",D111)</f>
        <v>0</v>
      </c>
    </row>
    <row r="380" ht="14" customHeight="true">
      <c r="A380" s="6" t="n">
        <f>IF(A112="","",A112)</f>
        <v>38</v>
      </c>
      <c r="B380" s="7" t="n">
        <f>IF(A112="","",B112)</f>
        <v>10000</v>
      </c>
      <c r="C380" s="7" t="n">
        <f>IF(A112="","",C112)</f>
        <v>28400</v>
      </c>
      <c r="D380" s="7" t="n">
        <f>IF(A112="","",D112)</f>
        <v>0</v>
      </c>
    </row>
    <row r="381" ht="14" customHeight="true">
      <c r="A381" s="6" t="n">
        <f>IF(A113="","",A113)</f>
        <v>39</v>
      </c>
      <c r="B381" s="7" t="n">
        <f>IF(A113="","",B113)</f>
        <v>10000</v>
      </c>
      <c r="C381" s="7" t="n">
        <f>IF(A113="","",C113)</f>
        <v>28750</v>
      </c>
      <c r="D381" s="7" t="n">
        <f>IF(A113="","",D113)</f>
        <v>0</v>
      </c>
    </row>
    <row r="382" ht="14" customHeight="true">
      <c r="A382" s="6" t="n">
        <f>IF(A114="","",A114)</f>
        <v>40</v>
      </c>
      <c r="B382" s="7" t="n">
        <f>IF(A114="","",B114)</f>
        <v>10000</v>
      </c>
      <c r="C382" s="7" t="n">
        <f>IF(A114="","",C114)</f>
        <v>29100</v>
      </c>
      <c r="D382" s="7" t="n">
        <f>IF(A114="","",D114)</f>
        <v>0</v>
      </c>
    </row>
    <row r="383" ht="14" customHeight="true">
      <c r="A383" s="6" t="n">
        <f>IF(A115="","",A115)</f>
        <v>41</v>
      </c>
      <c r="B383" s="7" t="n">
        <f>IF(A115="","",B115)</f>
        <v>10000</v>
      </c>
      <c r="C383" s="7" t="n">
        <f>IF(A115="","",C115)</f>
        <v>29450</v>
      </c>
      <c r="D383" s="7" t="n">
        <f>IF(A115="","",D115)</f>
        <v>0</v>
      </c>
    </row>
    <row r="384" ht="14" customHeight="true">
      <c r="A384" s="6" t="n">
        <f>IF(A116="","",A116)</f>
        <v>42</v>
      </c>
      <c r="B384" s="7" t="n">
        <f>IF(A116="","",B116)</f>
        <v>10000</v>
      </c>
      <c r="C384" s="7" t="n">
        <f>IF(A116="","",C116)</f>
        <v>29800</v>
      </c>
      <c r="D384" s="7" t="n">
        <f>IF(A116="","",D116)</f>
        <v>0</v>
      </c>
    </row>
    <row r="385" ht="14" customHeight="true">
      <c r="A385" s="6" t="n">
        <f>IF(A117="","",A117)</f>
        <v>43</v>
      </c>
      <c r="B385" s="7" t="n">
        <f>IF(A117="","",B117)</f>
        <v>10000</v>
      </c>
      <c r="C385" s="7" t="n">
        <f>IF(A117="","",C117)</f>
        <v>30150</v>
      </c>
      <c r="D385" s="7" t="n">
        <f>IF(A117="","",D117)</f>
        <v>0</v>
      </c>
    </row>
    <row r="386" ht="14" customHeight="true">
      <c r="A386" s="6" t="n">
        <f>IF(A118="","",A118)</f>
        <v>44</v>
      </c>
      <c r="B386" s="7" t="n">
        <f>IF(A118="","",B118)</f>
        <v>10000</v>
      </c>
      <c r="C386" s="7" t="n">
        <f>IF(A118="","",C118)</f>
        <v>30500</v>
      </c>
      <c r="D386" s="7" t="n">
        <f>IF(A118="","",D118)</f>
        <v>0</v>
      </c>
    </row>
    <row r="387" ht="14" customHeight="true">
      <c r="A387" s="6" t="n">
        <f>IF(A119="","",A119)</f>
        <v>45</v>
      </c>
      <c r="B387" s="7" t="n">
        <f>IF(A119="","",B119)</f>
        <v>10000</v>
      </c>
      <c r="C387" s="7" t="n">
        <f>IF(A119="","",C119)</f>
        <v>30850</v>
      </c>
      <c r="D387" s="7" t="n">
        <f>IF(A119="","",D119)</f>
        <v>0</v>
      </c>
    </row>
    <row r="388" ht="14" customHeight="true">
      <c r="A388" s="6" t="n">
        <f>IF(A120="","",A120)</f>
        <v>46</v>
      </c>
      <c r="B388" s="7" t="n">
        <f>IF(A120="","",B120)</f>
        <v>10000</v>
      </c>
      <c r="C388" s="7" t="n">
        <f>IF(A120="","",C120)</f>
        <v>31200</v>
      </c>
      <c r="D388" s="7" t="n">
        <f>IF(A120="","",D120)</f>
        <v>0</v>
      </c>
    </row>
    <row r="389" ht="14" customHeight="true">
      <c r="A389" s="6" t="n">
        <f>IF(A121="","",A121)</f>
        <v>47</v>
      </c>
      <c r="B389" s="7" t="n">
        <f>IF(A121="","",B121)</f>
        <v>10000</v>
      </c>
      <c r="C389" s="7" t="n">
        <f>IF(A121="","",C121)</f>
        <v>31550</v>
      </c>
      <c r="D389" s="7" t="n">
        <f>IF(A121="","",D121)</f>
        <v>0</v>
      </c>
    </row>
    <row r="390" ht="14" customHeight="true">
      <c r="A390" s="6" t="n">
        <f>IF(A122="","",A122)</f>
        <v>48</v>
      </c>
      <c r="B390" s="7" t="n">
        <f>IF(A122="","",B122)</f>
        <v>10000</v>
      </c>
      <c r="C390" s="7" t="n">
        <f>IF(A122="","",C122)</f>
        <v>31900</v>
      </c>
      <c r="D390" s="7" t="n">
        <f>IF(A122="","",D122)</f>
        <v>0</v>
      </c>
    </row>
    <row r="391" ht="14" customHeight="true">
      <c r="A391" s="6" t="str">
        <f>IF(A123="","",A123)</f>
        <v/>
      </c>
      <c r="B391" s="7" t="str">
        <f>IF(A123="","",B123)</f>
        <v/>
      </c>
      <c r="C391" s="7" t="str">
        <f>IF(A123="","",C123)</f>
        <v/>
      </c>
      <c r="D391" s="7" t="str">
        <f>IF(A123="","",D123)</f>
        <v/>
      </c>
    </row>
    <row r="392" ht="14" customHeight="true">
      <c r="A392" s="6" t="str">
        <f>IF(A124="","",A124)</f>
        <v/>
      </c>
      <c r="B392" s="7" t="str">
        <f>IF(A124="","",B124)</f>
        <v/>
      </c>
      <c r="C392" s="7" t="str">
        <f>IF(A124="","",C124)</f>
        <v/>
      </c>
      <c r="D392" s="7" t="str">
        <f>IF(A124="","",D124)</f>
        <v/>
      </c>
    </row>
    <row r="393" ht="14" customHeight="true">
      <c r="A393" s="6" t="str">
        <f>IF(A125="","",A125)</f>
        <v/>
      </c>
      <c r="B393" s="7" t="str">
        <f>IF(A125="","",B125)</f>
        <v/>
      </c>
      <c r="C393" s="7" t="str">
        <f>IF(A125="","",C125)</f>
        <v/>
      </c>
      <c r="D393" s="7" t="str">
        <f>IF(A125="","",D125)</f>
        <v/>
      </c>
    </row>
    <row r="394" ht="14" customHeight="true">
      <c r="A394" s="6" t="str">
        <f>IF(A126="","",A126)</f>
        <v/>
      </c>
      <c r="B394" s="7" t="str">
        <f>IF(A126="","",B126)</f>
        <v/>
      </c>
      <c r="C394" s="7" t="str">
        <f>IF(A126="","",C126)</f>
        <v/>
      </c>
      <c r="D394" s="7" t="str">
        <f>IF(A126="","",D126)</f>
        <v/>
      </c>
    </row>
    <row r="395" ht="14" customHeight="true">
      <c r="A395" s="6" t="str">
        <f>IF(A127="","",A127)</f>
        <v/>
      </c>
      <c r="B395" s="7" t="str">
        <f>IF(A127="","",B127)</f>
        <v/>
      </c>
      <c r="C395" s="7" t="str">
        <f>IF(A127="","",C127)</f>
        <v/>
      </c>
      <c r="D395" s="7" t="str">
        <f>IF(A127="","",D127)</f>
        <v/>
      </c>
    </row>
    <row r="396" ht="14" customHeight="true">
      <c r="A396" s="6" t="str">
        <f>IF(A128="","",A128)</f>
        <v/>
      </c>
      <c r="B396" s="7" t="str">
        <f>IF(A128="","",B128)</f>
        <v/>
      </c>
      <c r="C396" s="7" t="str">
        <f>IF(A128="","",C128)</f>
        <v/>
      </c>
      <c r="D396" s="7" t="str">
        <f>IF(A128="","",D128)</f>
        <v/>
      </c>
    </row>
    <row r="397" ht="14" customHeight="true">
      <c r="A397" s="6" t="str">
        <f>IF(A129="","",A129)</f>
        <v/>
      </c>
      <c r="B397" s="7" t="str">
        <f>IF(A129="","",B129)</f>
        <v/>
      </c>
      <c r="C397" s="7" t="str">
        <f>IF(A129="","",C129)</f>
        <v/>
      </c>
      <c r="D397" s="7" t="str">
        <f>IF(A129="","",D129)</f>
        <v/>
      </c>
    </row>
    <row r="398" ht="14" customHeight="true">
      <c r="A398" s="6" t="str">
        <f>IF(A130="","",A130)</f>
        <v/>
      </c>
      <c r="B398" s="7" t="str">
        <f>IF(A130="","",B130)</f>
        <v/>
      </c>
      <c r="C398" s="7" t="str">
        <f>IF(A130="","",C130)</f>
        <v/>
      </c>
      <c r="D398" s="7" t="str">
        <f>IF(A130="","",D130)</f>
        <v/>
      </c>
    </row>
    <row r="399" ht="14" customHeight="true">
      <c r="A399" s="6" t="str">
        <f>IF(A131="","",A131)</f>
        <v/>
      </c>
      <c r="B399" s="7" t="str">
        <f>IF(A131="","",B131)</f>
        <v/>
      </c>
      <c r="C399" s="7" t="str">
        <f>IF(A131="","",C131)</f>
        <v/>
      </c>
      <c r="D399" s="7" t="str">
        <f>IF(A131="","",D131)</f>
        <v/>
      </c>
    </row>
    <row r="400" ht="14" customHeight="true">
      <c r="A400" s="6" t="str">
        <f>IF(A132="","",A132)</f>
        <v/>
      </c>
      <c r="B400" s="7" t="str">
        <f>IF(A132="","",B132)</f>
        <v/>
      </c>
      <c r="C400" s="7" t="str">
        <f>IF(A132="","",C132)</f>
        <v/>
      </c>
      <c r="D400" s="7" t="str">
        <f>IF(A132="","",D132)</f>
        <v/>
      </c>
    </row>
    <row r="401" ht="14" customHeight="true">
      <c r="A401" s="6" t="str">
        <f>IF(A133="","",A133)</f>
        <v/>
      </c>
      <c r="B401" s="7" t="str">
        <f>IF(A133="","",B133)</f>
        <v/>
      </c>
      <c r="C401" s="7" t="str">
        <f>IF(A133="","",C133)</f>
        <v/>
      </c>
      <c r="D401" s="7" t="str">
        <f>IF(A133="","",D133)</f>
        <v/>
      </c>
    </row>
    <row r="402" ht="14" customHeight="true">
      <c r="A402" s="6" t="str">
        <f>IF(A134="","",A134)</f>
        <v/>
      </c>
      <c r="B402" s="7" t="str">
        <f>IF(A134="","",B134)</f>
        <v/>
      </c>
      <c r="C402" s="7" t="str">
        <f>IF(A134="","",C134)</f>
        <v/>
      </c>
      <c r="D402" s="7" t="str">
        <f>IF(A134="","",D134)</f>
        <v/>
      </c>
    </row>
    <row r="410" ht="24" customHeight="true">
      <c r="A410" s="1" t="str">
        <f>"Druckbereich · Zielstände B · Teil 2/2"</f>
        <v>Druckbereich · Zielstände B · Teil 2/2</v>
      </c>
    </row>
    <row r="411" ht="36" customHeight="true">
      <c r="A411" s="2" t="str">
        <f>"Mein Plan: "&amp;Ziele!$B$5&amp;IF(Ziele!$B$5=1," Monat. "," Monate. ")&amp;"Zielstände 4–6. Zusammen umfasst alle sechs Zielstände aus beiden Teilen. Weitere Pläne bleiben getrennt."</f>
        <v>Mein Plan: 48 Monate. Zielstände 4–6. Zusammen umfasst alle sechs Zielstände aus beiden Teilen. Weitere Pläne bleiben getrennt.</v>
      </c>
    </row>
    <row r="412" ht="33.75" customHeight="true">
      <c r="A412" s="3" t="str">
        <f>A74</f>
        <v>Monat</v>
      </c>
      <c r="B412" s="3" t="str">
        <f>E74</f>
        <v>Ziel 4</v>
      </c>
      <c r="C412" s="3" t="str">
        <f>F74</f>
        <v>Ziel 5</v>
      </c>
      <c r="D412" s="3" t="str">
        <f>G74</f>
        <v>Ziel 6</v>
      </c>
      <c r="E412" s="3" t="str">
        <f>H74</f>
        <v>Zusammen</v>
      </c>
    </row>
    <row r="413" ht="14" customHeight="true">
      <c r="A413" s="6" t="n">
        <f>IF(A75="","",A75)</f>
        <v>1</v>
      </c>
      <c r="B413" s="7" t="n">
        <f>IF(A75="","",E75)</f>
        <v>0</v>
      </c>
      <c r="C413" s="7" t="n">
        <f>IF(A75="","",F75)</f>
        <v>0</v>
      </c>
      <c r="D413" s="7" t="n">
        <f>IF(A75="","",G75)</f>
        <v>0</v>
      </c>
      <c r="E413" s="7" t="n">
        <f>IF(A75="","",H75)</f>
        <v>26350</v>
      </c>
    </row>
    <row r="414" ht="14" customHeight="true">
      <c r="A414" s="6" t="n">
        <f>IF(A76="","",A76)</f>
        <v>2</v>
      </c>
      <c r="B414" s="7" t="n">
        <f>IF(A76="","",E76)</f>
        <v>0</v>
      </c>
      <c r="C414" s="7" t="n">
        <f>IF(A76="","",F76)</f>
        <v>0</v>
      </c>
      <c r="D414" s="7" t="n">
        <f>IF(A76="","",G76)</f>
        <v>0</v>
      </c>
      <c r="E414" s="7" t="n">
        <f>IF(A76="","",H76)</f>
        <v>26700</v>
      </c>
    </row>
    <row r="415" ht="14" customHeight="true">
      <c r="A415" s="6" t="n">
        <f>IF(A77="","",A77)</f>
        <v>3</v>
      </c>
      <c r="B415" s="7" t="n">
        <f>IF(A77="","",E77)</f>
        <v>0</v>
      </c>
      <c r="C415" s="7" t="n">
        <f>IF(A77="","",F77)</f>
        <v>0</v>
      </c>
      <c r="D415" s="7" t="n">
        <f>IF(A77="","",G77)</f>
        <v>0</v>
      </c>
      <c r="E415" s="7" t="n">
        <f>IF(A77="","",H77)</f>
        <v>27050</v>
      </c>
    </row>
    <row r="416" ht="14" customHeight="true">
      <c r="A416" s="6" t="n">
        <f>IF(A78="","",A78)</f>
        <v>4</v>
      </c>
      <c r="B416" s="7" t="n">
        <f>IF(A78="","",E78)</f>
        <v>0</v>
      </c>
      <c r="C416" s="7" t="n">
        <f>IF(A78="","",F78)</f>
        <v>0</v>
      </c>
      <c r="D416" s="7" t="n">
        <f>IF(A78="","",G78)</f>
        <v>0</v>
      </c>
      <c r="E416" s="7" t="n">
        <f>IF(A78="","",H78)</f>
        <v>27400</v>
      </c>
    </row>
    <row r="417" ht="14" customHeight="true">
      <c r="A417" s="6" t="n">
        <f>IF(A79="","",A79)</f>
        <v>5</v>
      </c>
      <c r="B417" s="7" t="n">
        <f>IF(A79="","",E79)</f>
        <v>0</v>
      </c>
      <c r="C417" s="7" t="n">
        <f>IF(A79="","",F79)</f>
        <v>0</v>
      </c>
      <c r="D417" s="7" t="n">
        <f>IF(A79="","",G79)</f>
        <v>0</v>
      </c>
      <c r="E417" s="7" t="n">
        <f>IF(A79="","",H79)</f>
        <v>27750</v>
      </c>
    </row>
    <row r="418" ht="14" customHeight="true">
      <c r="A418" s="6" t="n">
        <f>IF(A80="","",A80)</f>
        <v>6</v>
      </c>
      <c r="B418" s="7" t="n">
        <f>IF(A80="","",E80)</f>
        <v>0</v>
      </c>
      <c r="C418" s="7" t="n">
        <f>IF(A80="","",F80)</f>
        <v>0</v>
      </c>
      <c r="D418" s="7" t="n">
        <f>IF(A80="","",G80)</f>
        <v>0</v>
      </c>
      <c r="E418" s="7" t="n">
        <f>IF(A80="","",H80)</f>
        <v>28100</v>
      </c>
    </row>
    <row r="419" ht="14" customHeight="true">
      <c r="A419" s="6" t="n">
        <f>IF(A81="","",A81)</f>
        <v>7</v>
      </c>
      <c r="B419" s="7" t="n">
        <f>IF(A81="","",E81)</f>
        <v>0</v>
      </c>
      <c r="C419" s="7" t="n">
        <f>IF(A81="","",F81)</f>
        <v>0</v>
      </c>
      <c r="D419" s="7" t="n">
        <f>IF(A81="","",G81)</f>
        <v>0</v>
      </c>
      <c r="E419" s="7" t="n">
        <f>IF(A81="","",H81)</f>
        <v>28450</v>
      </c>
    </row>
    <row r="420" ht="14" customHeight="true">
      <c r="A420" s="6" t="n">
        <f>IF(A82="","",A82)</f>
        <v>8</v>
      </c>
      <c r="B420" s="7" t="n">
        <f>IF(A82="","",E82)</f>
        <v>0</v>
      </c>
      <c r="C420" s="7" t="n">
        <f>IF(A82="","",F82)</f>
        <v>0</v>
      </c>
      <c r="D420" s="7" t="n">
        <f>IF(A82="","",G82)</f>
        <v>0</v>
      </c>
      <c r="E420" s="7" t="n">
        <f>IF(A82="","",H82)</f>
        <v>28800</v>
      </c>
    </row>
    <row r="421" ht="14" customHeight="true">
      <c r="A421" s="6" t="n">
        <f>IF(A83="","",A83)</f>
        <v>9</v>
      </c>
      <c r="B421" s="7" t="n">
        <f>IF(A83="","",E83)</f>
        <v>0</v>
      </c>
      <c r="C421" s="7" t="n">
        <f>IF(A83="","",F83)</f>
        <v>0</v>
      </c>
      <c r="D421" s="7" t="n">
        <f>IF(A83="","",G83)</f>
        <v>0</v>
      </c>
      <c r="E421" s="7" t="n">
        <f>IF(A83="","",H83)</f>
        <v>29150</v>
      </c>
    </row>
    <row r="422" ht="14" customHeight="true">
      <c r="A422" s="6" t="n">
        <f>IF(A84="","",A84)</f>
        <v>10</v>
      </c>
      <c r="B422" s="7" t="n">
        <f>IF(A84="","",E84)</f>
        <v>0</v>
      </c>
      <c r="C422" s="7" t="n">
        <f>IF(A84="","",F84)</f>
        <v>0</v>
      </c>
      <c r="D422" s="7" t="n">
        <f>IF(A84="","",G84)</f>
        <v>0</v>
      </c>
      <c r="E422" s="7" t="n">
        <f>IF(A84="","",H84)</f>
        <v>29500</v>
      </c>
    </row>
    <row r="423" ht="14" customHeight="true">
      <c r="A423" s="6" t="n">
        <f>IF(A85="","",A85)</f>
        <v>11</v>
      </c>
      <c r="B423" s="7" t="n">
        <f>IF(A85="","",E85)</f>
        <v>0</v>
      </c>
      <c r="C423" s="7" t="n">
        <f>IF(A85="","",F85)</f>
        <v>0</v>
      </c>
      <c r="D423" s="7" t="n">
        <f>IF(A85="","",G85)</f>
        <v>0</v>
      </c>
      <c r="E423" s="7" t="n">
        <f>IF(A85="","",H85)</f>
        <v>29850</v>
      </c>
    </row>
    <row r="424" ht="14" customHeight="true">
      <c r="A424" s="6" t="n">
        <f>IF(A86="","",A86)</f>
        <v>12</v>
      </c>
      <c r="B424" s="7" t="n">
        <f>IF(A86="","",E86)</f>
        <v>0</v>
      </c>
      <c r="C424" s="7" t="n">
        <f>IF(A86="","",F86)</f>
        <v>0</v>
      </c>
      <c r="D424" s="7" t="n">
        <f>IF(A86="","",G86)</f>
        <v>0</v>
      </c>
      <c r="E424" s="7" t="n">
        <f>IF(A86="","",H86)</f>
        <v>30200</v>
      </c>
    </row>
    <row r="425" ht="14" customHeight="true">
      <c r="A425" s="6" t="n">
        <f>IF(A87="","",A87)</f>
        <v>13</v>
      </c>
      <c r="B425" s="7" t="n">
        <f>IF(A87="","",E87)</f>
        <v>0</v>
      </c>
      <c r="C425" s="7" t="n">
        <f>IF(A87="","",F87)</f>
        <v>0</v>
      </c>
      <c r="D425" s="7" t="n">
        <f>IF(A87="","",G87)</f>
        <v>0</v>
      </c>
      <c r="E425" s="7" t="n">
        <f>IF(A87="","",H87)</f>
        <v>30400</v>
      </c>
    </row>
    <row r="426" ht="14" customHeight="true">
      <c r="A426" s="6" t="n">
        <f>IF(A88="","",A88)</f>
        <v>14</v>
      </c>
      <c r="B426" s="7" t="n">
        <f>IF(A88="","",E88)</f>
        <v>0</v>
      </c>
      <c r="C426" s="7" t="n">
        <f>IF(A88="","",F88)</f>
        <v>0</v>
      </c>
      <c r="D426" s="7" t="n">
        <f>IF(A88="","",G88)</f>
        <v>0</v>
      </c>
      <c r="E426" s="7" t="n">
        <f>IF(A88="","",H88)</f>
        <v>30600</v>
      </c>
    </row>
    <row r="427" ht="14" customHeight="true">
      <c r="A427" s="6" t="n">
        <f>IF(A89="","",A89)</f>
        <v>15</v>
      </c>
      <c r="B427" s="7" t="n">
        <f>IF(A89="","",E89)</f>
        <v>0</v>
      </c>
      <c r="C427" s="7" t="n">
        <f>IF(A89="","",F89)</f>
        <v>0</v>
      </c>
      <c r="D427" s="7" t="n">
        <f>IF(A89="","",G89)</f>
        <v>0</v>
      </c>
      <c r="E427" s="7" t="n">
        <f>IF(A89="","",H89)</f>
        <v>30800</v>
      </c>
    </row>
    <row r="428" ht="14" customHeight="true">
      <c r="A428" s="6" t="n">
        <f>IF(A90="","",A90)</f>
        <v>16</v>
      </c>
      <c r="B428" s="7" t="n">
        <f>IF(A90="","",E90)</f>
        <v>0</v>
      </c>
      <c r="C428" s="7" t="n">
        <f>IF(A90="","",F90)</f>
        <v>0</v>
      </c>
      <c r="D428" s="7" t="n">
        <f>IF(A90="","",G90)</f>
        <v>0</v>
      </c>
      <c r="E428" s="7" t="n">
        <f>IF(A90="","",H90)</f>
        <v>31000</v>
      </c>
    </row>
    <row r="429" ht="14" customHeight="true">
      <c r="A429" s="6" t="n">
        <f>IF(A91="","",A91)</f>
        <v>17</v>
      </c>
      <c r="B429" s="7" t="n">
        <f>IF(A91="","",E91)</f>
        <v>0</v>
      </c>
      <c r="C429" s="7" t="n">
        <f>IF(A91="","",F91)</f>
        <v>0</v>
      </c>
      <c r="D429" s="7" t="n">
        <f>IF(A91="","",G91)</f>
        <v>0</v>
      </c>
      <c r="E429" s="7" t="n">
        <f>IF(A91="","",H91)</f>
        <v>31200</v>
      </c>
    </row>
    <row r="430" ht="14" customHeight="true">
      <c r="A430" s="6" t="n">
        <f>IF(A92="","",A92)</f>
        <v>18</v>
      </c>
      <c r="B430" s="7" t="n">
        <f>IF(A92="","",E92)</f>
        <v>0</v>
      </c>
      <c r="C430" s="7" t="n">
        <f>IF(A92="","",F92)</f>
        <v>0</v>
      </c>
      <c r="D430" s="7" t="n">
        <f>IF(A92="","",G92)</f>
        <v>0</v>
      </c>
      <c r="E430" s="7" t="n">
        <f>IF(A92="","",H92)</f>
        <v>31400</v>
      </c>
    </row>
    <row r="431" ht="14" customHeight="true">
      <c r="A431" s="6" t="n">
        <f>IF(A93="","",A93)</f>
        <v>19</v>
      </c>
      <c r="B431" s="7" t="n">
        <f>IF(A93="","",E93)</f>
        <v>0</v>
      </c>
      <c r="C431" s="7" t="n">
        <f>IF(A93="","",F93)</f>
        <v>0</v>
      </c>
      <c r="D431" s="7" t="n">
        <f>IF(A93="","",G93)</f>
        <v>0</v>
      </c>
      <c r="E431" s="7" t="n">
        <f>IF(A93="","",H93)</f>
        <v>31750</v>
      </c>
    </row>
    <row r="432" ht="14" customHeight="true">
      <c r="A432" s="6" t="n">
        <f>IF(A94="","",A94)</f>
        <v>20</v>
      </c>
      <c r="B432" s="7" t="n">
        <f>IF(A94="","",E94)</f>
        <v>0</v>
      </c>
      <c r="C432" s="7" t="n">
        <f>IF(A94="","",F94)</f>
        <v>0</v>
      </c>
      <c r="D432" s="7" t="n">
        <f>IF(A94="","",G94)</f>
        <v>0</v>
      </c>
      <c r="E432" s="7" t="n">
        <f>IF(A94="","",H94)</f>
        <v>32100</v>
      </c>
    </row>
    <row r="433" ht="14" customHeight="true">
      <c r="A433" s="6" t="n">
        <f>IF(A95="","",A95)</f>
        <v>21</v>
      </c>
      <c r="B433" s="7" t="n">
        <f>IF(A95="","",E95)</f>
        <v>0</v>
      </c>
      <c r="C433" s="7" t="n">
        <f>IF(A95="","",F95)</f>
        <v>0</v>
      </c>
      <c r="D433" s="7" t="n">
        <f>IF(A95="","",G95)</f>
        <v>0</v>
      </c>
      <c r="E433" s="7" t="n">
        <f>IF(A95="","",H95)</f>
        <v>32450</v>
      </c>
    </row>
    <row r="434" ht="14" customHeight="true">
      <c r="A434" s="6" t="n">
        <f>IF(A96="","",A96)</f>
        <v>22</v>
      </c>
      <c r="B434" s="7" t="n">
        <f>IF(A96="","",E96)</f>
        <v>0</v>
      </c>
      <c r="C434" s="7" t="n">
        <f>IF(A96="","",F96)</f>
        <v>0</v>
      </c>
      <c r="D434" s="7" t="n">
        <f>IF(A96="","",G96)</f>
        <v>0</v>
      </c>
      <c r="E434" s="7" t="n">
        <f>IF(A96="","",H96)</f>
        <v>32800</v>
      </c>
    </row>
    <row r="435" ht="14" customHeight="true">
      <c r="A435" s="6" t="n">
        <f>IF(A97="","",A97)</f>
        <v>23</v>
      </c>
      <c r="B435" s="7" t="n">
        <f>IF(A97="","",E97)</f>
        <v>0</v>
      </c>
      <c r="C435" s="7" t="n">
        <f>IF(A97="","",F97)</f>
        <v>0</v>
      </c>
      <c r="D435" s="7" t="n">
        <f>IF(A97="","",G97)</f>
        <v>0</v>
      </c>
      <c r="E435" s="7" t="n">
        <f>IF(A97="","",H97)</f>
        <v>33150</v>
      </c>
    </row>
    <row r="436" ht="14" customHeight="true">
      <c r="A436" s="6" t="n">
        <f>IF(A98="","",A98)</f>
        <v>24</v>
      </c>
      <c r="B436" s="7" t="n">
        <f>IF(A98="","",E98)</f>
        <v>0</v>
      </c>
      <c r="C436" s="7" t="n">
        <f>IF(A98="","",F98)</f>
        <v>0</v>
      </c>
      <c r="D436" s="7" t="n">
        <f>IF(A98="","",G98)</f>
        <v>0</v>
      </c>
      <c r="E436" s="7" t="n">
        <f>IF(A98="","",H98)</f>
        <v>33500</v>
      </c>
    </row>
    <row r="437" ht="14" customHeight="true">
      <c r="A437" s="6" t="n">
        <f>IF(A99="","",A99)</f>
        <v>25</v>
      </c>
      <c r="B437" s="7" t="n">
        <f>IF(A99="","",E99)</f>
        <v>0</v>
      </c>
      <c r="C437" s="7" t="n">
        <f>IF(A99="","",F99)</f>
        <v>0</v>
      </c>
      <c r="D437" s="7" t="n">
        <f>IF(A99="","",G99)</f>
        <v>0</v>
      </c>
      <c r="E437" s="7" t="n">
        <f>IF(A99="","",H99)</f>
        <v>33850</v>
      </c>
    </row>
    <row r="438" ht="14" customHeight="true">
      <c r="A438" s="6" t="n">
        <f>IF(A100="","",A100)</f>
        <v>26</v>
      </c>
      <c r="B438" s="7" t="n">
        <f>IF(A100="","",E100)</f>
        <v>0</v>
      </c>
      <c r="C438" s="7" t="n">
        <f>IF(A100="","",F100)</f>
        <v>0</v>
      </c>
      <c r="D438" s="7" t="n">
        <f>IF(A100="","",G100)</f>
        <v>0</v>
      </c>
      <c r="E438" s="7" t="n">
        <f>IF(A100="","",H100)</f>
        <v>34200</v>
      </c>
    </row>
    <row r="439" ht="14" customHeight="true">
      <c r="A439" s="6" t="n">
        <f>IF(A101="","",A101)</f>
        <v>27</v>
      </c>
      <c r="B439" s="7" t="n">
        <f>IF(A101="","",E101)</f>
        <v>0</v>
      </c>
      <c r="C439" s="7" t="n">
        <f>IF(A101="","",F101)</f>
        <v>0</v>
      </c>
      <c r="D439" s="7" t="n">
        <f>IF(A101="","",G101)</f>
        <v>0</v>
      </c>
      <c r="E439" s="7" t="n">
        <f>IF(A101="","",H101)</f>
        <v>34550</v>
      </c>
    </row>
    <row r="440" ht="14" customHeight="true">
      <c r="A440" s="6" t="n">
        <f>IF(A102="","",A102)</f>
        <v>28</v>
      </c>
      <c r="B440" s="7" t="n">
        <f>IF(A102="","",E102)</f>
        <v>0</v>
      </c>
      <c r="C440" s="7" t="n">
        <f>IF(A102="","",F102)</f>
        <v>0</v>
      </c>
      <c r="D440" s="7" t="n">
        <f>IF(A102="","",G102)</f>
        <v>0</v>
      </c>
      <c r="E440" s="7" t="n">
        <f>IF(A102="","",H102)</f>
        <v>34900</v>
      </c>
    </row>
    <row r="441" ht="14" customHeight="true">
      <c r="A441" s="6" t="n">
        <f>IF(A103="","",A103)</f>
        <v>29</v>
      </c>
      <c r="B441" s="7" t="n">
        <f>IF(A103="","",E103)</f>
        <v>0</v>
      </c>
      <c r="C441" s="7" t="n">
        <f>IF(A103="","",F103)</f>
        <v>0</v>
      </c>
      <c r="D441" s="7" t="n">
        <f>IF(A103="","",G103)</f>
        <v>0</v>
      </c>
      <c r="E441" s="7" t="n">
        <f>IF(A103="","",H103)</f>
        <v>35250</v>
      </c>
    </row>
    <row r="442" ht="14" customHeight="true">
      <c r="A442" s="6" t="n">
        <f>IF(A104="","",A104)</f>
        <v>30</v>
      </c>
      <c r="B442" s="7" t="n">
        <f>IF(A104="","",E104)</f>
        <v>0</v>
      </c>
      <c r="C442" s="7" t="n">
        <f>IF(A104="","",F104)</f>
        <v>0</v>
      </c>
      <c r="D442" s="7" t="n">
        <f>IF(A104="","",G104)</f>
        <v>0</v>
      </c>
      <c r="E442" s="7" t="n">
        <f>IF(A104="","",H104)</f>
        <v>35600</v>
      </c>
    </row>
    <row r="443" ht="14" customHeight="true">
      <c r="A443" s="6" t="n">
        <f>IF(A105="","",A105)</f>
        <v>31</v>
      </c>
      <c r="B443" s="7" t="n">
        <f>IF(A105="","",E105)</f>
        <v>0</v>
      </c>
      <c r="C443" s="7" t="n">
        <f>IF(A105="","",F105)</f>
        <v>0</v>
      </c>
      <c r="D443" s="7" t="n">
        <f>IF(A105="","",G105)</f>
        <v>0</v>
      </c>
      <c r="E443" s="7" t="n">
        <f>IF(A105="","",H105)</f>
        <v>35950</v>
      </c>
    </row>
    <row r="444" ht="14" customHeight="true">
      <c r="A444" s="6" t="n">
        <f>IF(A106="","",A106)</f>
        <v>32</v>
      </c>
      <c r="B444" s="7" t="n">
        <f>IF(A106="","",E106)</f>
        <v>0</v>
      </c>
      <c r="C444" s="7" t="n">
        <f>IF(A106="","",F106)</f>
        <v>0</v>
      </c>
      <c r="D444" s="7" t="n">
        <f>IF(A106="","",G106)</f>
        <v>0</v>
      </c>
      <c r="E444" s="7" t="n">
        <f>IF(A106="","",H106)</f>
        <v>36300</v>
      </c>
    </row>
    <row r="445" ht="14" customHeight="true">
      <c r="A445" s="6" t="n">
        <f>IF(A107="","",A107)</f>
        <v>33</v>
      </c>
      <c r="B445" s="7" t="n">
        <f>IF(A107="","",E107)</f>
        <v>0</v>
      </c>
      <c r="C445" s="7" t="n">
        <f>IF(A107="","",F107)</f>
        <v>0</v>
      </c>
      <c r="D445" s="7" t="n">
        <f>IF(A107="","",G107)</f>
        <v>0</v>
      </c>
      <c r="E445" s="7" t="n">
        <f>IF(A107="","",H107)</f>
        <v>36650</v>
      </c>
    </row>
    <row r="446" ht="14" customHeight="true">
      <c r="A446" s="6" t="n">
        <f>IF(A108="","",A108)</f>
        <v>34</v>
      </c>
      <c r="B446" s="7" t="n">
        <f>IF(A108="","",E108)</f>
        <v>0</v>
      </c>
      <c r="C446" s="7" t="n">
        <f>IF(A108="","",F108)</f>
        <v>0</v>
      </c>
      <c r="D446" s="7" t="n">
        <f>IF(A108="","",G108)</f>
        <v>0</v>
      </c>
      <c r="E446" s="7" t="n">
        <f>IF(A108="","",H108)</f>
        <v>37000</v>
      </c>
    </row>
    <row r="447" ht="14" customHeight="true">
      <c r="A447" s="6" t="n">
        <f>IF(A109="","",A109)</f>
        <v>35</v>
      </c>
      <c r="B447" s="7" t="n">
        <f>IF(A109="","",E109)</f>
        <v>0</v>
      </c>
      <c r="C447" s="7" t="n">
        <f>IF(A109="","",F109)</f>
        <v>0</v>
      </c>
      <c r="D447" s="7" t="n">
        <f>IF(A109="","",G109)</f>
        <v>0</v>
      </c>
      <c r="E447" s="7" t="n">
        <f>IF(A109="","",H109)</f>
        <v>37350</v>
      </c>
    </row>
    <row r="448" ht="14" customHeight="true">
      <c r="A448" s="6" t="n">
        <f>IF(A110="","",A110)</f>
        <v>36</v>
      </c>
      <c r="B448" s="7" t="n">
        <f>IF(A110="","",E110)</f>
        <v>0</v>
      </c>
      <c r="C448" s="7" t="n">
        <f>IF(A110="","",F110)</f>
        <v>0</v>
      </c>
      <c r="D448" s="7" t="n">
        <f>IF(A110="","",G110)</f>
        <v>0</v>
      </c>
      <c r="E448" s="7" t="n">
        <f>IF(A110="","",H110)</f>
        <v>37700</v>
      </c>
    </row>
    <row r="449" ht="14" customHeight="true">
      <c r="A449" s="6" t="n">
        <f>IF(A111="","",A111)</f>
        <v>37</v>
      </c>
      <c r="B449" s="7" t="n">
        <f>IF(A111="","",E111)</f>
        <v>0</v>
      </c>
      <c r="C449" s="7" t="n">
        <f>IF(A111="","",F111)</f>
        <v>0</v>
      </c>
      <c r="D449" s="7" t="n">
        <f>IF(A111="","",G111)</f>
        <v>0</v>
      </c>
      <c r="E449" s="7" t="n">
        <f>IF(A111="","",H111)</f>
        <v>38050</v>
      </c>
    </row>
    <row r="450" ht="14" customHeight="true">
      <c r="A450" s="6" t="n">
        <f>IF(A112="","",A112)</f>
        <v>38</v>
      </c>
      <c r="B450" s="7" t="n">
        <f>IF(A112="","",E112)</f>
        <v>0</v>
      </c>
      <c r="C450" s="7" t="n">
        <f>IF(A112="","",F112)</f>
        <v>0</v>
      </c>
      <c r="D450" s="7" t="n">
        <f>IF(A112="","",G112)</f>
        <v>0</v>
      </c>
      <c r="E450" s="7" t="n">
        <f>IF(A112="","",H112)</f>
        <v>38400</v>
      </c>
    </row>
    <row r="451" ht="14" customHeight="true">
      <c r="A451" s="6" t="n">
        <f>IF(A113="","",A113)</f>
        <v>39</v>
      </c>
      <c r="B451" s="7" t="n">
        <f>IF(A113="","",E113)</f>
        <v>0</v>
      </c>
      <c r="C451" s="7" t="n">
        <f>IF(A113="","",F113)</f>
        <v>0</v>
      </c>
      <c r="D451" s="7" t="n">
        <f>IF(A113="","",G113)</f>
        <v>0</v>
      </c>
      <c r="E451" s="7" t="n">
        <f>IF(A113="","",H113)</f>
        <v>38750</v>
      </c>
    </row>
    <row r="452" ht="14" customHeight="true">
      <c r="A452" s="6" t="n">
        <f>IF(A114="","",A114)</f>
        <v>40</v>
      </c>
      <c r="B452" s="7" t="n">
        <f>IF(A114="","",E114)</f>
        <v>0</v>
      </c>
      <c r="C452" s="7" t="n">
        <f>IF(A114="","",F114)</f>
        <v>0</v>
      </c>
      <c r="D452" s="7" t="n">
        <f>IF(A114="","",G114)</f>
        <v>0</v>
      </c>
      <c r="E452" s="7" t="n">
        <f>IF(A114="","",H114)</f>
        <v>39100</v>
      </c>
    </row>
    <row r="453" ht="14" customHeight="true">
      <c r="A453" s="6" t="n">
        <f>IF(A115="","",A115)</f>
        <v>41</v>
      </c>
      <c r="B453" s="7" t="n">
        <f>IF(A115="","",E115)</f>
        <v>0</v>
      </c>
      <c r="C453" s="7" t="n">
        <f>IF(A115="","",F115)</f>
        <v>0</v>
      </c>
      <c r="D453" s="7" t="n">
        <f>IF(A115="","",G115)</f>
        <v>0</v>
      </c>
      <c r="E453" s="7" t="n">
        <f>IF(A115="","",H115)</f>
        <v>39450</v>
      </c>
    </row>
    <row r="454" ht="14" customHeight="true">
      <c r="A454" s="6" t="n">
        <f>IF(A116="","",A116)</f>
        <v>42</v>
      </c>
      <c r="B454" s="7" t="n">
        <f>IF(A116="","",E116)</f>
        <v>0</v>
      </c>
      <c r="C454" s="7" t="n">
        <f>IF(A116="","",F116)</f>
        <v>0</v>
      </c>
      <c r="D454" s="7" t="n">
        <f>IF(A116="","",G116)</f>
        <v>0</v>
      </c>
      <c r="E454" s="7" t="n">
        <f>IF(A116="","",H116)</f>
        <v>39800</v>
      </c>
    </row>
    <row r="455" ht="14" customHeight="true">
      <c r="A455" s="6" t="n">
        <f>IF(A117="","",A117)</f>
        <v>43</v>
      </c>
      <c r="B455" s="7" t="n">
        <f>IF(A117="","",E117)</f>
        <v>0</v>
      </c>
      <c r="C455" s="7" t="n">
        <f>IF(A117="","",F117)</f>
        <v>0</v>
      </c>
      <c r="D455" s="7" t="n">
        <f>IF(A117="","",G117)</f>
        <v>0</v>
      </c>
      <c r="E455" s="7" t="n">
        <f>IF(A117="","",H117)</f>
        <v>40150</v>
      </c>
    </row>
    <row r="456" ht="14" customHeight="true">
      <c r="A456" s="6" t="n">
        <f>IF(A118="","",A118)</f>
        <v>44</v>
      </c>
      <c r="B456" s="7" t="n">
        <f>IF(A118="","",E118)</f>
        <v>0</v>
      </c>
      <c r="C456" s="7" t="n">
        <f>IF(A118="","",F118)</f>
        <v>0</v>
      </c>
      <c r="D456" s="7" t="n">
        <f>IF(A118="","",G118)</f>
        <v>0</v>
      </c>
      <c r="E456" s="7" t="n">
        <f>IF(A118="","",H118)</f>
        <v>40500</v>
      </c>
    </row>
    <row r="457" ht="14" customHeight="true">
      <c r="A457" s="6" t="n">
        <f>IF(A119="","",A119)</f>
        <v>45</v>
      </c>
      <c r="B457" s="7" t="n">
        <f>IF(A119="","",E119)</f>
        <v>0</v>
      </c>
      <c r="C457" s="7" t="n">
        <f>IF(A119="","",F119)</f>
        <v>0</v>
      </c>
      <c r="D457" s="7" t="n">
        <f>IF(A119="","",G119)</f>
        <v>0</v>
      </c>
      <c r="E457" s="7" t="n">
        <f>IF(A119="","",H119)</f>
        <v>40850</v>
      </c>
    </row>
    <row r="458" ht="14" customHeight="true">
      <c r="A458" s="6" t="n">
        <f>IF(A120="","",A120)</f>
        <v>46</v>
      </c>
      <c r="B458" s="7" t="n">
        <f>IF(A120="","",E120)</f>
        <v>0</v>
      </c>
      <c r="C458" s="7" t="n">
        <f>IF(A120="","",F120)</f>
        <v>0</v>
      </c>
      <c r="D458" s="7" t="n">
        <f>IF(A120="","",G120)</f>
        <v>0</v>
      </c>
      <c r="E458" s="7" t="n">
        <f>IF(A120="","",H120)</f>
        <v>41200</v>
      </c>
    </row>
    <row r="459" ht="14" customHeight="true">
      <c r="A459" s="6" t="n">
        <f>IF(A121="","",A121)</f>
        <v>47</v>
      </c>
      <c r="B459" s="7" t="n">
        <f>IF(A121="","",E121)</f>
        <v>0</v>
      </c>
      <c r="C459" s="7" t="n">
        <f>IF(A121="","",F121)</f>
        <v>0</v>
      </c>
      <c r="D459" s="7" t="n">
        <f>IF(A121="","",G121)</f>
        <v>0</v>
      </c>
      <c r="E459" s="7" t="n">
        <f>IF(A121="","",H121)</f>
        <v>41550</v>
      </c>
    </row>
    <row r="460" ht="14" customHeight="true">
      <c r="A460" s="6" t="n">
        <f>IF(A122="","",A122)</f>
        <v>48</v>
      </c>
      <c r="B460" s="7" t="n">
        <f>IF(A122="","",E122)</f>
        <v>0</v>
      </c>
      <c r="C460" s="7" t="n">
        <f>IF(A122="","",F122)</f>
        <v>0</v>
      </c>
      <c r="D460" s="7" t="n">
        <f>IF(A122="","",G122)</f>
        <v>0</v>
      </c>
      <c r="E460" s="7" t="n">
        <f>IF(A122="","",H122)</f>
        <v>41900</v>
      </c>
    </row>
    <row r="461" ht="14" customHeight="true">
      <c r="A461" s="6" t="str">
        <f>IF(A123="","",A123)</f>
        <v/>
      </c>
      <c r="B461" s="7" t="str">
        <f>IF(A123="","",E123)</f>
        <v/>
      </c>
      <c r="C461" s="7" t="str">
        <f>IF(A123="","",F123)</f>
        <v/>
      </c>
      <c r="D461" s="7" t="str">
        <f>IF(A123="","",G123)</f>
        <v/>
      </c>
      <c r="E461" s="7" t="str">
        <f>IF(A123="","",H123)</f>
        <v/>
      </c>
    </row>
    <row r="462" ht="14" customHeight="true">
      <c r="A462" s="6" t="str">
        <f>IF(A124="","",A124)</f>
        <v/>
      </c>
      <c r="B462" s="7" t="str">
        <f>IF(A124="","",E124)</f>
        <v/>
      </c>
      <c r="C462" s="7" t="str">
        <f>IF(A124="","",F124)</f>
        <v/>
      </c>
      <c r="D462" s="7" t="str">
        <f>IF(A124="","",G124)</f>
        <v/>
      </c>
      <c r="E462" s="7" t="str">
        <f>IF(A124="","",H124)</f>
        <v/>
      </c>
    </row>
    <row r="463" ht="14" customHeight="true">
      <c r="A463" s="6" t="str">
        <f>IF(A125="","",A125)</f>
        <v/>
      </c>
      <c r="B463" s="7" t="str">
        <f>IF(A125="","",E125)</f>
        <v/>
      </c>
      <c r="C463" s="7" t="str">
        <f>IF(A125="","",F125)</f>
        <v/>
      </c>
      <c r="D463" s="7" t="str">
        <f>IF(A125="","",G125)</f>
        <v/>
      </c>
      <c r="E463" s="7" t="str">
        <f>IF(A125="","",H125)</f>
        <v/>
      </c>
    </row>
    <row r="464" ht="14" customHeight="true">
      <c r="A464" s="6" t="str">
        <f>IF(A126="","",A126)</f>
        <v/>
      </c>
      <c r="B464" s="7" t="str">
        <f>IF(A126="","",E126)</f>
        <v/>
      </c>
      <c r="C464" s="7" t="str">
        <f>IF(A126="","",F126)</f>
        <v/>
      </c>
      <c r="D464" s="7" t="str">
        <f>IF(A126="","",G126)</f>
        <v/>
      </c>
      <c r="E464" s="7" t="str">
        <f>IF(A126="","",H126)</f>
        <v/>
      </c>
    </row>
    <row r="465" ht="14" customHeight="true">
      <c r="A465" s="6" t="str">
        <f>IF(A127="","",A127)</f>
        <v/>
      </c>
      <c r="B465" s="7" t="str">
        <f>IF(A127="","",E127)</f>
        <v/>
      </c>
      <c r="C465" s="7" t="str">
        <f>IF(A127="","",F127)</f>
        <v/>
      </c>
      <c r="D465" s="7" t="str">
        <f>IF(A127="","",G127)</f>
        <v/>
      </c>
      <c r="E465" s="7" t="str">
        <f>IF(A127="","",H127)</f>
        <v/>
      </c>
    </row>
    <row r="466" ht="14" customHeight="true">
      <c r="A466" s="6" t="str">
        <f>IF(A128="","",A128)</f>
        <v/>
      </c>
      <c r="B466" s="7" t="str">
        <f>IF(A128="","",E128)</f>
        <v/>
      </c>
      <c r="C466" s="7" t="str">
        <f>IF(A128="","",F128)</f>
        <v/>
      </c>
      <c r="D466" s="7" t="str">
        <f>IF(A128="","",G128)</f>
        <v/>
      </c>
      <c r="E466" s="7" t="str">
        <f>IF(A128="","",H128)</f>
        <v/>
      </c>
    </row>
    <row r="467" ht="14" customHeight="true">
      <c r="A467" s="6" t="str">
        <f>IF(A129="","",A129)</f>
        <v/>
      </c>
      <c r="B467" s="7" t="str">
        <f>IF(A129="","",E129)</f>
        <v/>
      </c>
      <c r="C467" s="7" t="str">
        <f>IF(A129="","",F129)</f>
        <v/>
      </c>
      <c r="D467" s="7" t="str">
        <f>IF(A129="","",G129)</f>
        <v/>
      </c>
      <c r="E467" s="7" t="str">
        <f>IF(A129="","",H129)</f>
        <v/>
      </c>
    </row>
    <row r="468" ht="14" customHeight="true">
      <c r="A468" s="6" t="str">
        <f>IF(A130="","",A130)</f>
        <v/>
      </c>
      <c r="B468" s="7" t="str">
        <f>IF(A130="","",E130)</f>
        <v/>
      </c>
      <c r="C468" s="7" t="str">
        <f>IF(A130="","",F130)</f>
        <v/>
      </c>
      <c r="D468" s="7" t="str">
        <f>IF(A130="","",G130)</f>
        <v/>
      </c>
      <c r="E468" s="7" t="str">
        <f>IF(A130="","",H130)</f>
        <v/>
      </c>
    </row>
    <row r="469" ht="14" customHeight="true">
      <c r="A469" s="6" t="str">
        <f>IF(A131="","",A131)</f>
        <v/>
      </c>
      <c r="B469" s="7" t="str">
        <f>IF(A131="","",E131)</f>
        <v/>
      </c>
      <c r="C469" s="7" t="str">
        <f>IF(A131="","",F131)</f>
        <v/>
      </c>
      <c r="D469" s="7" t="str">
        <f>IF(A131="","",G131)</f>
        <v/>
      </c>
      <c r="E469" s="7" t="str">
        <f>IF(A131="","",H131)</f>
        <v/>
      </c>
    </row>
    <row r="470" ht="14" customHeight="true">
      <c r="A470" s="6" t="str">
        <f>IF(A132="","",A132)</f>
        <v/>
      </c>
      <c r="B470" s="7" t="str">
        <f>IF(A132="","",E132)</f>
        <v/>
      </c>
      <c r="C470" s="7" t="str">
        <f>IF(A132="","",F132)</f>
        <v/>
      </c>
      <c r="D470" s="7" t="str">
        <f>IF(A132="","",G132)</f>
        <v/>
      </c>
      <c r="E470" s="7" t="str">
        <f>IF(A132="","",H132)</f>
        <v/>
      </c>
    </row>
    <row r="471" ht="14" customHeight="true">
      <c r="A471" s="6" t="str">
        <f>IF(A133="","",A133)</f>
        <v/>
      </c>
      <c r="B471" s="7" t="str">
        <f>IF(A133="","",E133)</f>
        <v/>
      </c>
      <c r="C471" s="7" t="str">
        <f>IF(A133="","",F133)</f>
        <v/>
      </c>
      <c r="D471" s="7" t="str">
        <f>IF(A133="","",G133)</f>
        <v/>
      </c>
      <c r="E471" s="7" t="str">
        <f>IF(A133="","",H133)</f>
        <v/>
      </c>
    </row>
    <row r="472" ht="14" customHeight="true">
      <c r="A472" s="6" t="str">
        <f>IF(A134="","",A134)</f>
        <v/>
      </c>
      <c r="B472" s="7" t="str">
        <f>IF(A134="","",E134)</f>
        <v/>
      </c>
      <c r="C472" s="7" t="str">
        <f>IF(A134="","",F134)</f>
        <v/>
      </c>
      <c r="D472" s="7" t="str">
        <f>IF(A134="","",G134)</f>
        <v/>
      </c>
      <c r="E472" s="7" t="str">
        <f>IF(A134="","",H134)</f>
        <v/>
      </c>
    </row>
  </sheetData>
  <mergeCells count="10">
    <mergeCell ref="A1:L2"/>
    <mergeCell ref="A4:L4"/>
    <mergeCell ref="A200:G200"/>
    <mergeCell ref="A201:G201"/>
    <mergeCell ref="A270:F270"/>
    <mergeCell ref="A271:F271"/>
    <mergeCell ref="A340:D340"/>
    <mergeCell ref="A341:D341"/>
    <mergeCell ref="A410:E410"/>
    <mergeCell ref="A411:E411"/>
  </mergeCells>
  <conditionalFormatting sqref="D7:D66">
    <cfRule type="expression" priority="2" aboveAverage="0" equalAverage="0" bottom="0" percent="0" rank="0" text="" dxfId="0">
      <formula>AND(ISNUMBER(D7),D7&gt;0)</formula>
    </cfRule>
  </conditionalFormatting>
  <printOptions headings="false" gridLines="false" gridLinesSet="true" horizontalCentered="false" verticalCentered="false"/>
  <pageMargins left="0.3" right="0.3" top="0.35" bottom="0.3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&amp;Linvesthoch3.de · Sparziel-Fahrplan 0.2&amp;R&amp;P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2026-10-16T07:43:52Z</dcterms:created>
  <dc:creator>Oliver · investhoch3.de</dc:creator>
  <dc:description/>
  <dc:language>en-US</dc:language>
  <cp:lastModifiedBy/>
  <dcterms:modified xsi:type="dcterms:W3CDTF">2026-10-16T07:43:53Z</dcterms:modified>
  <cp:revision>0</cp:revision>
  <dc:subject/>
  <dc:title>Mein Sparziel-Fahrplan · Prototyp 0.1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